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date1904="1" showInkAnnotation="0" autoCompressPictures="0"/>
  <bookViews>
    <workbookView xWindow="2000" yWindow="40" windowWidth="47000" windowHeight="27960" tabRatio="898"/>
  </bookViews>
  <sheets>
    <sheet name="Step 1" sheetId="21" r:id="rId1"/>
    <sheet name="Step 2" sheetId="16" r:id="rId2"/>
    <sheet name="Step 2 SUMMARY" sheetId="24" r:id="rId3"/>
    <sheet name="Start-up Costs Worksheet" sheetId="25" r:id="rId4"/>
    <sheet name="Mo. 1" sheetId="26" r:id="rId5"/>
    <sheet name="Mo. 2" sheetId="27" r:id="rId6"/>
    <sheet name="Mo. 3" sheetId="28" r:id="rId7"/>
    <sheet name="Mo. 4" sheetId="29" r:id="rId8"/>
    <sheet name="Mo. 5" sheetId="30" r:id="rId9"/>
    <sheet name="Mo. 6" sheetId="31" r:id="rId10"/>
    <sheet name="Mo. 7" sheetId="32" r:id="rId11"/>
    <sheet name="Mo. 8" sheetId="33" r:id="rId12"/>
    <sheet name="Mo. 9" sheetId="34" r:id="rId13"/>
    <sheet name="Mo. 10" sheetId="35" r:id="rId14"/>
    <sheet name="Mo. 11" sheetId="36" r:id="rId15"/>
    <sheet name="Mo. 12" sheetId="37" r:id="rId16"/>
    <sheet name="Yearly Summary" sheetId="14" r:id="rId17"/>
    <sheet name="Sx Fee Breakdown" sheetId="22" r:id="rId18"/>
  </sheets>
  <externalReferences>
    <externalReference r:id="rId19"/>
    <externalReference r:id="rId20"/>
  </externalReferences>
  <definedNames>
    <definedName name="_Order1" hidden="1">0</definedName>
    <definedName name="COGS" localSheetId="4">'Mo. 1'!$D$25</definedName>
    <definedName name="COGS" localSheetId="13">'Mo. 10'!$D$25</definedName>
    <definedName name="COGS" localSheetId="14">'Mo. 11'!$D$25</definedName>
    <definedName name="COGS" localSheetId="15">'Mo. 12'!$D$25</definedName>
    <definedName name="COGS" localSheetId="5">'Mo. 2'!$D$25</definedName>
    <definedName name="COGS" localSheetId="6">'Mo. 3'!$D$25</definedName>
    <definedName name="COGS" localSheetId="7">'Mo. 4'!$D$25</definedName>
    <definedName name="COGS" localSheetId="8">'Mo. 5'!$D$25</definedName>
    <definedName name="COGS" localSheetId="9">'Mo. 6'!$D$25</definedName>
    <definedName name="COGS" localSheetId="10">'Mo. 7'!$D$25</definedName>
    <definedName name="COGS" localSheetId="11">'Mo. 8'!$D$25</definedName>
    <definedName name="COGS" localSheetId="12">'Mo. 9'!$D$25</definedName>
    <definedName name="COGS" localSheetId="1">#N/A</definedName>
    <definedName name="COGS" localSheetId="2">'Step 2 SUMMARY'!#REF!</definedName>
    <definedName name="COGS" localSheetId="17">'Sx Fee Breakdown'!$F$18</definedName>
    <definedName name="DATA_01" localSheetId="4" hidden="1">'Mo. 1'!$A$2:$A$7</definedName>
    <definedName name="DATA_01" localSheetId="13" hidden="1">'Mo. 10'!$A$2:$A$7</definedName>
    <definedName name="DATA_01" localSheetId="14" hidden="1">'Mo. 11'!$A$2:$A$7</definedName>
    <definedName name="DATA_01" localSheetId="15" hidden="1">'Mo. 12'!$A$2:$A$7</definedName>
    <definedName name="DATA_01" localSheetId="5" hidden="1">'Mo. 2'!$A$2:$A$7</definedName>
    <definedName name="DATA_01" localSheetId="6" hidden="1">'Mo. 3'!$A$2:$A$7</definedName>
    <definedName name="DATA_01" localSheetId="7" hidden="1">'Mo. 4'!$A$2:$A$7</definedName>
    <definedName name="DATA_01" localSheetId="8" hidden="1">'Mo. 5'!$A$2:$A$7</definedName>
    <definedName name="DATA_01" localSheetId="9" hidden="1">'Mo. 6'!$A$2:$A$7</definedName>
    <definedName name="DATA_01" localSheetId="10" hidden="1">'Mo. 7'!$A$2:$A$7</definedName>
    <definedName name="DATA_01" localSheetId="11" hidden="1">'Mo. 8'!$A$2:$A$7</definedName>
    <definedName name="DATA_01" localSheetId="12" hidden="1">'Mo. 9'!$A$2:$A$7</definedName>
    <definedName name="DATA_01" localSheetId="1" hidden="1">'Step 2'!$A$2:$A$7</definedName>
    <definedName name="DATA_01" localSheetId="2" hidden="1">'Step 2 SUMMARY'!$A$2:$A$4</definedName>
    <definedName name="DATA_01" localSheetId="17" hidden="1">'Sx Fee Breakdown'!$A$1:$A$4</definedName>
    <definedName name="DATA_02" localSheetId="4" hidden="1">'Mo. 1'!$D$10:$D$10</definedName>
    <definedName name="DATA_02" localSheetId="13" hidden="1">'Mo. 10'!$D$10:$D$10</definedName>
    <definedName name="DATA_02" localSheetId="14" hidden="1">'Mo. 11'!$D$10:$D$10</definedName>
    <definedName name="DATA_02" localSheetId="15" hidden="1">'Mo. 12'!$D$10:$D$10</definedName>
    <definedName name="DATA_02" localSheetId="5" hidden="1">'Mo. 2'!$D$10:$D$10</definedName>
    <definedName name="DATA_02" localSheetId="6" hidden="1">'Mo. 3'!$D$10:$D$10</definedName>
    <definedName name="DATA_02" localSheetId="7" hidden="1">'Mo. 4'!$D$10:$D$10</definedName>
    <definedName name="DATA_02" localSheetId="8" hidden="1">'Mo. 5'!$D$10:$D$10</definedName>
    <definedName name="DATA_02" localSheetId="9" hidden="1">'Mo. 6'!$D$10:$D$10</definedName>
    <definedName name="DATA_02" localSheetId="10" hidden="1">'Mo. 7'!$D$10:$D$10</definedName>
    <definedName name="DATA_02" localSheetId="11" hidden="1">'Mo. 8'!$D$10:$D$10</definedName>
    <definedName name="DATA_02" localSheetId="12" hidden="1">'Mo. 9'!$D$10:$D$10</definedName>
    <definedName name="DATA_02" localSheetId="1" hidden="1">'Step 2'!$D$10:$D$10</definedName>
    <definedName name="DATA_02" localSheetId="2" hidden="1">'Step 2 SUMMARY'!$D$8:$D$8</definedName>
    <definedName name="DATA_02" localSheetId="17" hidden="1">'Sx Fee Breakdown'!$D$7:$D$7</definedName>
    <definedName name="DATA_03" localSheetId="4" hidden="1">'Mo. 1'!#REF!</definedName>
    <definedName name="DATA_03" localSheetId="13" hidden="1">'Mo. 10'!#REF!</definedName>
    <definedName name="DATA_03" localSheetId="14" hidden="1">'Mo. 11'!#REF!</definedName>
    <definedName name="DATA_03" localSheetId="15" hidden="1">'Mo. 12'!#REF!</definedName>
    <definedName name="DATA_03" localSheetId="5" hidden="1">'Mo. 2'!#REF!</definedName>
    <definedName name="DATA_03" localSheetId="6" hidden="1">'Mo. 3'!#REF!</definedName>
    <definedName name="DATA_03" localSheetId="7" hidden="1">'Mo. 4'!#REF!</definedName>
    <definedName name="DATA_03" localSheetId="8" hidden="1">'Mo. 5'!#REF!</definedName>
    <definedName name="DATA_03" localSheetId="9" hidden="1">'Mo. 6'!#REF!</definedName>
    <definedName name="DATA_03" localSheetId="10" hidden="1">'Mo. 7'!#REF!</definedName>
    <definedName name="DATA_03" localSheetId="11" hidden="1">'Mo. 8'!#REF!</definedName>
    <definedName name="DATA_03" localSheetId="12" hidden="1">'Mo. 9'!#REF!</definedName>
    <definedName name="DATA_03" localSheetId="0" hidden="1">'[1]1 Vet, 35 per Day'!#REF!</definedName>
    <definedName name="DATA_03" localSheetId="1" hidden="1">'Step 2'!#REF!</definedName>
    <definedName name="DATA_03" localSheetId="2" hidden="1">'Step 2 SUMMARY'!#REF!</definedName>
    <definedName name="DATA_03" localSheetId="17" hidden="1">'Sx Fee Breakdown'!#REF!</definedName>
    <definedName name="DATA_03" hidden="1">'[2]1 Vet, 35 per Day'!#REF!</definedName>
    <definedName name="DATA_04" localSheetId="4" hidden="1">'Mo. 1'!$D$18:$D$21</definedName>
    <definedName name="DATA_04" localSheetId="13" hidden="1">'Mo. 10'!$D$18:$D$21</definedName>
    <definedName name="DATA_04" localSheetId="14" hidden="1">'Mo. 11'!$D$18:$D$21</definedName>
    <definedName name="DATA_04" localSheetId="15" hidden="1">'Mo. 12'!$D$18:$D$21</definedName>
    <definedName name="DATA_04" localSheetId="5" hidden="1">'Mo. 2'!$D$18:$D$21</definedName>
    <definedName name="DATA_04" localSheetId="6" hidden="1">'Mo. 3'!$D$18:$D$21</definedName>
    <definedName name="DATA_04" localSheetId="7" hidden="1">'Mo. 4'!$D$18:$D$21</definedName>
    <definedName name="DATA_04" localSheetId="8" hidden="1">'Mo. 5'!$D$18:$D$21</definedName>
    <definedName name="DATA_04" localSheetId="9" hidden="1">'Mo. 6'!$D$18:$D$21</definedName>
    <definedName name="DATA_04" localSheetId="10" hidden="1">'Mo. 7'!$D$18:$D$21</definedName>
    <definedName name="DATA_04" localSheetId="11" hidden="1">'Mo. 8'!$D$18:$D$21</definedName>
    <definedName name="DATA_04" localSheetId="12" hidden="1">'Mo. 9'!$D$18:$D$21</definedName>
    <definedName name="DATA_04" localSheetId="1" hidden="1">'Step 2'!$D$18:$D$21</definedName>
    <definedName name="DATA_04" localSheetId="2" hidden="1">'Step 2 SUMMARY'!#REF!</definedName>
    <definedName name="DATA_04" localSheetId="17" hidden="1">'Sx Fee Breakdown'!$D$11:$D$14</definedName>
    <definedName name="DATA_05" localSheetId="4" hidden="1">'Mo. 1'!#REF!</definedName>
    <definedName name="DATA_05" localSheetId="13" hidden="1">'Mo. 10'!#REF!</definedName>
    <definedName name="DATA_05" localSheetId="14" hidden="1">'Mo. 11'!#REF!</definedName>
    <definedName name="DATA_05" localSheetId="15" hidden="1">'Mo. 12'!#REF!</definedName>
    <definedName name="DATA_05" localSheetId="5" hidden="1">'Mo. 2'!#REF!</definedName>
    <definedName name="DATA_05" localSheetId="6" hidden="1">'Mo. 3'!#REF!</definedName>
    <definedName name="DATA_05" localSheetId="7" hidden="1">'Mo. 4'!#REF!</definedName>
    <definedName name="DATA_05" localSheetId="8" hidden="1">'Mo. 5'!#REF!</definedName>
    <definedName name="DATA_05" localSheetId="9" hidden="1">'Mo. 6'!#REF!</definedName>
    <definedName name="DATA_05" localSheetId="10" hidden="1">'Mo. 7'!#REF!</definedName>
    <definedName name="DATA_05" localSheetId="11" hidden="1">'Mo. 8'!#REF!</definedName>
    <definedName name="DATA_05" localSheetId="12" hidden="1">'Mo. 9'!#REF!</definedName>
    <definedName name="DATA_05" localSheetId="0" hidden="1">'[1]1 Vet, 35 per Day'!#REF!</definedName>
    <definedName name="DATA_05" localSheetId="1" hidden="1">'Step 2'!#REF!</definedName>
    <definedName name="DATA_05" localSheetId="2" hidden="1">'Step 2 SUMMARY'!#REF!</definedName>
    <definedName name="DATA_05" localSheetId="17" hidden="1">'Sx Fee Breakdown'!#REF!</definedName>
    <definedName name="DATA_05" hidden="1">'[2]1 Vet, 35 per Day'!#REF!</definedName>
    <definedName name="DATA_06" localSheetId="4" hidden="1">'Mo. 1'!$D$30:$D$59</definedName>
    <definedName name="DATA_06" localSheetId="13" hidden="1">'Mo. 10'!$D$30:$D$59</definedName>
    <definedName name="DATA_06" localSheetId="14" hidden="1">'Mo. 11'!$D$30:$D$59</definedName>
    <definedName name="DATA_06" localSheetId="15" hidden="1">'Mo. 12'!$D$30:$D$59</definedName>
    <definedName name="DATA_06" localSheetId="5" hidden="1">'Mo. 2'!$D$30:$D$59</definedName>
    <definedName name="DATA_06" localSheetId="6" hidden="1">'Mo. 3'!$D$30:$D$59</definedName>
    <definedName name="DATA_06" localSheetId="7" hidden="1">'Mo. 4'!$D$30:$D$59</definedName>
    <definedName name="DATA_06" localSheetId="8" hidden="1">'Mo. 5'!$D$30:$D$59</definedName>
    <definedName name="DATA_06" localSheetId="9" hidden="1">'Mo. 6'!$D$30:$D$59</definedName>
    <definedName name="DATA_06" localSheetId="10" hidden="1">'Mo. 7'!$D$30:$D$59</definedName>
    <definedName name="DATA_06" localSheetId="11" hidden="1">'Mo. 8'!$D$30:$D$59</definedName>
    <definedName name="DATA_06" localSheetId="12" hidden="1">'Mo. 9'!$D$30:$D$59</definedName>
    <definedName name="DATA_06" localSheetId="1" hidden="1">'Step 2'!$D$30:$D$59</definedName>
    <definedName name="DATA_06" localSheetId="2" hidden="1">'Step 2 SUMMARY'!#REF!</definedName>
    <definedName name="DATA_06" localSheetId="17" hidden="1">'Sx Fee Breakdown'!$D$22:$D$51</definedName>
    <definedName name="DATA_07" localSheetId="4" hidden="1">'Mo. 1'!#REF!</definedName>
    <definedName name="DATA_07" localSheetId="13" hidden="1">'Mo. 10'!#REF!</definedName>
    <definedName name="DATA_07" localSheetId="14" hidden="1">'Mo. 11'!#REF!</definedName>
    <definedName name="DATA_07" localSheetId="15" hidden="1">'Mo. 12'!#REF!</definedName>
    <definedName name="DATA_07" localSheetId="5" hidden="1">'Mo. 2'!#REF!</definedName>
    <definedName name="DATA_07" localSheetId="6" hidden="1">'Mo. 3'!#REF!</definedName>
    <definedName name="DATA_07" localSheetId="7" hidden="1">'Mo. 4'!#REF!</definedName>
    <definedName name="DATA_07" localSheetId="8" hidden="1">'Mo. 5'!#REF!</definedName>
    <definedName name="DATA_07" localSheetId="9" hidden="1">'Mo. 6'!#REF!</definedName>
    <definedName name="DATA_07" localSheetId="10" hidden="1">'Mo. 7'!#REF!</definedName>
    <definedName name="DATA_07" localSheetId="11" hidden="1">'Mo. 8'!#REF!</definedName>
    <definedName name="DATA_07" localSheetId="12" hidden="1">'Mo. 9'!#REF!</definedName>
    <definedName name="DATA_07" localSheetId="0" hidden="1">'[1]1 Vet, 35 per Day'!#REF!</definedName>
    <definedName name="DATA_07" localSheetId="1" hidden="1">'Step 2'!#REF!</definedName>
    <definedName name="DATA_07" localSheetId="2" hidden="1">'Step 2 SUMMARY'!#REF!</definedName>
    <definedName name="DATA_07" localSheetId="17" hidden="1">'Sx Fee Breakdown'!#REF!</definedName>
    <definedName name="DATA_07" hidden="1">'[2]1 Vet, 35 per Day'!#REF!</definedName>
    <definedName name="DATA_08" localSheetId="4" hidden="1">'Mo. 1'!#REF!</definedName>
    <definedName name="DATA_08" localSheetId="13" hidden="1">'Mo. 10'!#REF!</definedName>
    <definedName name="DATA_08" localSheetId="14" hidden="1">'Mo. 11'!#REF!</definedName>
    <definedName name="DATA_08" localSheetId="15" hidden="1">'Mo. 12'!#REF!</definedName>
    <definedName name="DATA_08" localSheetId="5" hidden="1">'Mo. 2'!#REF!</definedName>
    <definedName name="DATA_08" localSheetId="6" hidden="1">'Mo. 3'!#REF!</definedName>
    <definedName name="DATA_08" localSheetId="7" hidden="1">'Mo. 4'!#REF!</definedName>
    <definedName name="DATA_08" localSheetId="8" hidden="1">'Mo. 5'!#REF!</definedName>
    <definedName name="DATA_08" localSheetId="9" hidden="1">'Mo. 6'!#REF!</definedName>
    <definedName name="DATA_08" localSheetId="10" hidden="1">'Mo. 7'!#REF!</definedName>
    <definedName name="DATA_08" localSheetId="11" hidden="1">'Mo. 8'!#REF!</definedName>
    <definedName name="DATA_08" localSheetId="12" hidden="1">'Mo. 9'!#REF!</definedName>
    <definedName name="DATA_08" localSheetId="1" hidden="1">'Step 2'!#REF!</definedName>
    <definedName name="DATA_08" localSheetId="2" hidden="1">'Step 2 SUMMARY'!#REF!</definedName>
    <definedName name="DATA_08" localSheetId="17" hidden="1">'Sx Fee Breakdown'!#REF!</definedName>
    <definedName name="Gross_Profit" localSheetId="4">'Mo. 1'!$D$26</definedName>
    <definedName name="Gross_Profit" localSheetId="13">'Mo. 10'!$D$26</definedName>
    <definedName name="Gross_Profit" localSheetId="14">'Mo. 11'!$D$26</definedName>
    <definedName name="Gross_Profit" localSheetId="15">'Mo. 12'!$D$26</definedName>
    <definedName name="Gross_Profit" localSheetId="5">'Mo. 2'!$D$26</definedName>
    <definedName name="Gross_Profit" localSheetId="6">'Mo. 3'!$D$26</definedName>
    <definedName name="Gross_Profit" localSheetId="7">'Mo. 4'!$D$26</definedName>
    <definedName name="Gross_Profit" localSheetId="8">'Mo. 5'!$D$26</definedName>
    <definedName name="Gross_Profit" localSheetId="9">'Mo. 6'!$D$26</definedName>
    <definedName name="Gross_Profit" localSheetId="10">'Mo. 7'!$D$26</definedName>
    <definedName name="Gross_Profit" localSheetId="11">'Mo. 8'!$D$26</definedName>
    <definedName name="Gross_Profit" localSheetId="12">'Mo. 9'!$D$26</definedName>
    <definedName name="Gross_Profit" localSheetId="1">'Step 2'!$D$26</definedName>
    <definedName name="Gross_Profit" localSheetId="2">'Step 2 SUMMARY'!#REF!</definedName>
    <definedName name="Gross_Profit" localSheetId="17">'Sx Fee Breakdown'!#REF!</definedName>
    <definedName name="IntroPrintArea" hidden="1">#REF!</definedName>
    <definedName name="Inventory_Avail" localSheetId="4">'Mo. 1'!#REF!</definedName>
    <definedName name="Inventory_Avail" localSheetId="13">'Mo. 10'!#REF!</definedName>
    <definedName name="Inventory_Avail" localSheetId="14">'Mo. 11'!#REF!</definedName>
    <definedName name="Inventory_Avail" localSheetId="15">'Mo. 12'!#REF!</definedName>
    <definedName name="Inventory_Avail" localSheetId="5">'Mo. 2'!#REF!</definedName>
    <definedName name="Inventory_Avail" localSheetId="6">'Mo. 3'!#REF!</definedName>
    <definedName name="Inventory_Avail" localSheetId="7">'Mo. 4'!#REF!</definedName>
    <definedName name="Inventory_Avail" localSheetId="8">'Mo. 5'!#REF!</definedName>
    <definedName name="Inventory_Avail" localSheetId="9">'Mo. 6'!#REF!</definedName>
    <definedName name="Inventory_Avail" localSheetId="10">'Mo. 7'!#REF!</definedName>
    <definedName name="Inventory_Avail" localSheetId="11">'Mo. 8'!#REF!</definedName>
    <definedName name="Inventory_Avail" localSheetId="12">'Mo. 9'!#REF!</definedName>
    <definedName name="Inventory_Avail" localSheetId="0">'[1]1 Vet, 35 per Day'!#REF!</definedName>
    <definedName name="Inventory_Avail" localSheetId="1">'Step 2'!#REF!</definedName>
    <definedName name="Inventory_Avail" localSheetId="2">'Step 2 SUMMARY'!#REF!</definedName>
    <definedName name="Inventory_Avail" localSheetId="17">'Sx Fee Breakdown'!#REF!</definedName>
    <definedName name="Inventory_Avail">'[2]1 Vet, 35 per Day'!#REF!</definedName>
    <definedName name="Look1Area">#REF!</definedName>
    <definedName name="Look2Area">#REF!</definedName>
    <definedName name="Look3Area">#REF!</definedName>
    <definedName name="Look4Area">#REF!</definedName>
    <definedName name="Look5Area">#REF!</definedName>
    <definedName name="Net_Income" localSheetId="4">'Mo. 1'!$M$54</definedName>
    <definedName name="Net_Income" localSheetId="13">'Mo. 10'!$M$54</definedName>
    <definedName name="Net_Income" localSheetId="14">'Mo. 11'!$M$54</definedName>
    <definedName name="Net_Income" localSheetId="15">'Mo. 12'!$M$54</definedName>
    <definedName name="Net_Income" localSheetId="5">'Mo. 2'!$M$54</definedName>
    <definedName name="Net_Income" localSheetId="6">'Mo. 3'!$M$54</definedName>
    <definedName name="Net_Income" localSheetId="7">'Mo. 4'!$M$54</definedName>
    <definedName name="Net_Income" localSheetId="8">'Mo. 5'!$M$54</definedName>
    <definedName name="Net_Income" localSheetId="9">'Mo. 6'!$M$54</definedName>
    <definedName name="Net_Income" localSheetId="10">'Mo. 7'!$M$54</definedName>
    <definedName name="Net_Income" localSheetId="11">'Mo. 8'!$M$54</definedName>
    <definedName name="Net_Income" localSheetId="12">'Mo. 9'!$M$54</definedName>
    <definedName name="Net_Income" localSheetId="1">'Step 2'!$M$54</definedName>
    <definedName name="Net_Income" localSheetId="2">'Step 2 SUMMARY'!#REF!</definedName>
    <definedName name="Net_Income" localSheetId="17">'Sx Fee Breakdown'!#REF!</definedName>
    <definedName name="Net_Sales" localSheetId="4">'Mo. 1'!#REF!</definedName>
    <definedName name="Net_Sales" localSheetId="13">'Mo. 10'!#REF!</definedName>
    <definedName name="Net_Sales" localSheetId="14">'Mo. 11'!#REF!</definedName>
    <definedName name="Net_Sales" localSheetId="15">'Mo. 12'!#REF!</definedName>
    <definedName name="Net_Sales" localSheetId="5">'Mo. 2'!#REF!</definedName>
    <definedName name="Net_Sales" localSheetId="6">'Mo. 3'!#REF!</definedName>
    <definedName name="Net_Sales" localSheetId="7">'Mo. 4'!#REF!</definedName>
    <definedName name="Net_Sales" localSheetId="8">'Mo. 5'!#REF!</definedName>
    <definedName name="Net_Sales" localSheetId="9">'Mo. 6'!#REF!</definedName>
    <definedName name="Net_Sales" localSheetId="10">'Mo. 7'!#REF!</definedName>
    <definedName name="Net_Sales" localSheetId="11">'Mo. 8'!#REF!</definedName>
    <definedName name="Net_Sales" localSheetId="12">'Mo. 9'!#REF!</definedName>
    <definedName name="Net_Sales" localSheetId="1">'Step 2'!#REF!</definedName>
    <definedName name="Net_Sales" localSheetId="2">'Step 2 SUMMARY'!#REF!</definedName>
    <definedName name="Net_Sales" localSheetId="17">'Sx Fee Breakdown'!$F$8</definedName>
    <definedName name="Op_Income" localSheetId="4">'Mo. 1'!$J$48</definedName>
    <definedName name="Op_Income" localSheetId="13">'Mo. 10'!$J$48</definedName>
    <definedName name="Op_Income" localSheetId="14">'Mo. 11'!$J$48</definedName>
    <definedName name="Op_Income" localSheetId="15">'Mo. 12'!$J$48</definedName>
    <definedName name="Op_Income" localSheetId="5">'Mo. 2'!$J$48</definedName>
    <definedName name="Op_Income" localSheetId="6">'Mo. 3'!$J$48</definedName>
    <definedName name="Op_Income" localSheetId="7">'Mo. 4'!$J$48</definedName>
    <definedName name="Op_Income" localSheetId="8">'Mo. 5'!$J$48</definedName>
    <definedName name="Op_Income" localSheetId="9">'Mo. 6'!$J$48</definedName>
    <definedName name="Op_Income" localSheetId="10">'Mo. 7'!$J$48</definedName>
    <definedName name="Op_Income" localSheetId="11">'Mo. 8'!$J$48</definedName>
    <definedName name="Op_Income" localSheetId="12">'Mo. 9'!$J$48</definedName>
    <definedName name="Op_Income" localSheetId="1">'Step 2'!$J$48</definedName>
    <definedName name="Op_Income" localSheetId="2">'Step 2 SUMMARY'!$D$31</definedName>
    <definedName name="Op_Income" localSheetId="17">'Sx Fee Breakdown'!$L$56</definedName>
    <definedName name="Operating_Income" localSheetId="4">'Mo. 1'!$J$48</definedName>
    <definedName name="Operating_Income" localSheetId="13">'Mo. 10'!$J$48</definedName>
    <definedName name="Operating_Income" localSheetId="14">'Mo. 11'!$J$48</definedName>
    <definedName name="Operating_Income" localSheetId="15">'Mo. 12'!$J$48</definedName>
    <definedName name="Operating_Income" localSheetId="5">'Mo. 2'!$J$48</definedName>
    <definedName name="Operating_Income" localSheetId="6">'Mo. 3'!$J$48</definedName>
    <definedName name="Operating_Income" localSheetId="7">'Mo. 4'!$J$48</definedName>
    <definedName name="Operating_Income" localSheetId="8">'Mo. 5'!$J$48</definedName>
    <definedName name="Operating_Income" localSheetId="9">'Mo. 6'!$J$48</definedName>
    <definedName name="Operating_Income" localSheetId="10">'Mo. 7'!$J$48</definedName>
    <definedName name="Operating_Income" localSheetId="11">'Mo. 8'!$J$48</definedName>
    <definedName name="Operating_Income" localSheetId="12">'Mo. 9'!$J$48</definedName>
    <definedName name="Operating_Income" localSheetId="1">'Step 2'!$J$48</definedName>
    <definedName name="Operating_Income" localSheetId="2">'Step 2 SUMMARY'!$D$31</definedName>
    <definedName name="Operating_Income" localSheetId="17">'Sx Fee Breakdown'!$L$56</definedName>
    <definedName name="Other_Income" localSheetId="4">'Mo. 1'!#REF!</definedName>
    <definedName name="Other_Income" localSheetId="13">'Mo. 10'!#REF!</definedName>
    <definedName name="Other_Income" localSheetId="14">'Mo. 11'!#REF!</definedName>
    <definedName name="Other_Income" localSheetId="15">'Mo. 12'!#REF!</definedName>
    <definedName name="Other_Income" localSheetId="5">'Mo. 2'!#REF!</definedName>
    <definedName name="Other_Income" localSheetId="6">'Mo. 3'!#REF!</definedName>
    <definedName name="Other_Income" localSheetId="7">'Mo. 4'!#REF!</definedName>
    <definedName name="Other_Income" localSheetId="8">'Mo. 5'!#REF!</definedName>
    <definedName name="Other_Income" localSheetId="9">'Mo. 6'!#REF!</definedName>
    <definedName name="Other_Income" localSheetId="10">'Mo. 7'!#REF!</definedName>
    <definedName name="Other_Income" localSheetId="11">'Mo. 8'!#REF!</definedName>
    <definedName name="Other_Income" localSheetId="12">'Mo. 9'!#REF!</definedName>
    <definedName name="Other_Income" localSheetId="1">'Step 2'!#REF!</definedName>
    <definedName name="Other_Income" localSheetId="2">'Step 2 SUMMARY'!#REF!</definedName>
    <definedName name="Other_Income" localSheetId="17">'Sx Fee Breakdown'!#REF!</definedName>
    <definedName name="_xlnm.Print_Area" localSheetId="2">'Step 2 SUMMARY'!$A$1:$G$41</definedName>
    <definedName name="_xlnm.Print_Area" localSheetId="17">'Sx Fee Breakdown'!$A$1:$J$57</definedName>
    <definedName name="TemplatePrintArea" localSheetId="4">'Mo. 1'!$A$1:$G$66</definedName>
    <definedName name="TemplatePrintArea" localSheetId="13">'Mo. 10'!$A$1:$G$66</definedName>
    <definedName name="TemplatePrintArea" localSheetId="14">'Mo. 11'!$A$1:$G$66</definedName>
    <definedName name="TemplatePrintArea" localSheetId="15">'Mo. 12'!$A$1:$G$66</definedName>
    <definedName name="TemplatePrintArea" localSheetId="5">'Mo. 2'!$A$1:$G$66</definedName>
    <definedName name="TemplatePrintArea" localSheetId="6">'Mo. 3'!$A$1:$G$66</definedName>
    <definedName name="TemplatePrintArea" localSheetId="7">'Mo. 4'!$A$1:$G$66</definedName>
    <definedName name="TemplatePrintArea" localSheetId="8">'Mo. 5'!$A$1:$G$66</definedName>
    <definedName name="TemplatePrintArea" localSheetId="9">'Mo. 6'!$A$1:$G$66</definedName>
    <definedName name="TemplatePrintArea" localSheetId="10">'Mo. 7'!$A$1:$G$66</definedName>
    <definedName name="TemplatePrintArea" localSheetId="11">'Mo. 8'!$A$1:$G$66</definedName>
    <definedName name="TemplatePrintArea" localSheetId="12">'Mo. 9'!$A$1:$G$66</definedName>
    <definedName name="TemplatePrintArea" localSheetId="1">'Step 2'!$A$1:$G$66</definedName>
    <definedName name="TemplatePrintArea" localSheetId="2">'Step 2 SUMMARY'!$A$1:$E$41</definedName>
    <definedName name="TemplatePrintArea" localSheetId="17">'Sx Fee Breakdown'!$A$1:$F$57</definedName>
    <definedName name="Total_Expenses" localSheetId="4">'Mo. 1'!$D$60</definedName>
    <definedName name="Total_Expenses" localSheetId="13">'Mo. 10'!$D$60</definedName>
    <definedName name="Total_Expenses" localSheetId="14">'Mo. 11'!$D$60</definedName>
    <definedName name="Total_Expenses" localSheetId="15">'Mo. 12'!$D$60</definedName>
    <definedName name="Total_Expenses" localSheetId="5">'Mo. 2'!$D$60</definedName>
    <definedName name="Total_Expenses" localSheetId="6">'Mo. 3'!$D$60</definedName>
    <definedName name="Total_Expenses" localSheetId="7">'Mo. 4'!$D$60</definedName>
    <definedName name="Total_Expenses" localSheetId="8">'Mo. 5'!$D$60</definedName>
    <definedName name="Total_Expenses" localSheetId="9">'Mo. 6'!$D$60</definedName>
    <definedName name="Total_Expenses" localSheetId="10">'Mo. 7'!$D$60</definedName>
    <definedName name="Total_Expenses" localSheetId="11">'Mo. 8'!$D$60</definedName>
    <definedName name="Total_Expenses" localSheetId="12">'Mo. 9'!$D$60</definedName>
    <definedName name="Total_Expenses" localSheetId="1">#N/A</definedName>
    <definedName name="Total_Expenses" localSheetId="2">'Step 2 SUMMARY'!#REF!</definedName>
    <definedName name="Total_Expenses" localSheetId="17">'Sx Fee Breakdown'!$F$52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2" i="16" l="1"/>
  <c r="D24" i="16"/>
  <c r="D13" i="21"/>
  <c r="D29" i="21"/>
  <c r="D30" i="21"/>
  <c r="E17" i="21"/>
  <c r="G17" i="21"/>
  <c r="E18" i="21"/>
  <c r="G18" i="21"/>
  <c r="E19" i="21"/>
  <c r="G19" i="21"/>
  <c r="E20" i="21"/>
  <c r="G20" i="21"/>
  <c r="E21" i="21"/>
  <c r="G21" i="21"/>
  <c r="E22" i="21"/>
  <c r="G22" i="21"/>
  <c r="E23" i="21"/>
  <c r="G23" i="21"/>
  <c r="E24" i="21"/>
  <c r="G24" i="21"/>
  <c r="E25" i="21"/>
  <c r="G25" i="21"/>
  <c r="E26" i="21"/>
  <c r="G26" i="21"/>
  <c r="E27" i="21"/>
  <c r="G27" i="21"/>
  <c r="E28" i="21"/>
  <c r="G28" i="21"/>
  <c r="E29" i="21"/>
  <c r="G29" i="21"/>
  <c r="E30" i="21"/>
  <c r="G30" i="21"/>
  <c r="E33" i="21"/>
  <c r="G33" i="21"/>
  <c r="E34" i="21"/>
  <c r="G34" i="21"/>
  <c r="E35" i="21"/>
  <c r="G35" i="21"/>
  <c r="D36" i="21"/>
  <c r="E36" i="21"/>
  <c r="G36" i="21"/>
  <c r="D37" i="21"/>
  <c r="E37" i="21"/>
  <c r="G37" i="21"/>
  <c r="D38" i="21"/>
  <c r="E38" i="21"/>
  <c r="G38" i="21"/>
  <c r="D39" i="21"/>
  <c r="E39" i="21"/>
  <c r="G39" i="21"/>
  <c r="D40" i="21"/>
  <c r="E40" i="21"/>
  <c r="G40" i="21"/>
  <c r="G41" i="21"/>
  <c r="G43" i="21"/>
  <c r="G45" i="21"/>
  <c r="C3" i="16"/>
  <c r="C4" i="16"/>
  <c r="C5" i="16"/>
  <c r="J10" i="16"/>
  <c r="J15" i="16"/>
  <c r="D10" i="16"/>
  <c r="J12" i="16"/>
  <c r="J13" i="16"/>
  <c r="D14" i="16"/>
  <c r="J14" i="16"/>
  <c r="J35" i="16"/>
  <c r="J38" i="16"/>
  <c r="J41" i="16"/>
  <c r="J42" i="16"/>
  <c r="D30" i="16"/>
  <c r="D31" i="16"/>
  <c r="D60" i="16"/>
  <c r="D19" i="16"/>
  <c r="J21" i="16"/>
  <c r="J24" i="16"/>
  <c r="J27" i="16"/>
  <c r="J30" i="16"/>
  <c r="J31" i="16"/>
  <c r="D21" i="16"/>
  <c r="D23" i="16"/>
  <c r="D25" i="16"/>
  <c r="J46" i="16"/>
  <c r="E18" i="16"/>
  <c r="E19" i="16"/>
  <c r="E20" i="16"/>
  <c r="E21" i="16"/>
  <c r="E22" i="16"/>
  <c r="E23" i="16"/>
  <c r="E24" i="16"/>
  <c r="E25" i="16"/>
  <c r="D26" i="16"/>
  <c r="E30" i="16"/>
  <c r="E31" i="16"/>
  <c r="E32" i="16"/>
  <c r="E33" i="16"/>
  <c r="E34" i="16"/>
  <c r="E35" i="16"/>
  <c r="E36" i="16"/>
  <c r="E37" i="16"/>
  <c r="E38" i="16"/>
  <c r="E39" i="16"/>
  <c r="E40" i="16"/>
  <c r="E41" i="16"/>
  <c r="E42" i="16"/>
  <c r="E43" i="16"/>
  <c r="J43" i="16"/>
  <c r="E44" i="16"/>
  <c r="E45" i="16"/>
  <c r="E46" i="16"/>
  <c r="E60" i="16"/>
  <c r="K46" i="16"/>
  <c r="E47" i="16"/>
  <c r="E48" i="16"/>
  <c r="J48" i="16"/>
  <c r="E49" i="16"/>
  <c r="E50" i="16"/>
  <c r="E51" i="16"/>
  <c r="E52" i="16"/>
  <c r="E53" i="16"/>
  <c r="E54" i="16"/>
  <c r="E55" i="16"/>
  <c r="E56" i="16"/>
  <c r="J56" i="16"/>
  <c r="E57" i="16"/>
  <c r="E58" i="16"/>
  <c r="E59" i="16"/>
  <c r="J59" i="16"/>
  <c r="C3" i="24"/>
  <c r="H8" i="24"/>
  <c r="H10" i="24"/>
  <c r="H11" i="24"/>
  <c r="H12" i="24"/>
  <c r="H13" i="24"/>
  <c r="D8" i="24"/>
  <c r="D9" i="24"/>
  <c r="H9" i="24"/>
  <c r="D10" i="24"/>
  <c r="D11" i="24"/>
  <c r="D12" i="24"/>
  <c r="D16" i="24"/>
  <c r="D17" i="24"/>
  <c r="H17" i="24"/>
  <c r="D18" i="24"/>
  <c r="H18" i="24"/>
  <c r="H19" i="24"/>
  <c r="H20" i="24"/>
  <c r="H21" i="24"/>
  <c r="H22" i="24"/>
  <c r="H23" i="24"/>
  <c r="H24" i="24"/>
  <c r="H25" i="24"/>
  <c r="H26" i="24"/>
  <c r="H27" i="24"/>
  <c r="H28" i="24"/>
  <c r="H29" i="24"/>
  <c r="D19" i="24"/>
  <c r="D20" i="24"/>
  <c r="D21" i="24"/>
  <c r="D22" i="24"/>
  <c r="D23" i="24"/>
  <c r="D24" i="24"/>
  <c r="D28" i="24"/>
  <c r="H30" i="24"/>
  <c r="D31" i="24"/>
  <c r="H31" i="24"/>
  <c r="H32" i="24"/>
  <c r="H33" i="24"/>
  <c r="H34" i="24"/>
  <c r="H35" i="24"/>
  <c r="H36" i="24"/>
  <c r="H37" i="24"/>
  <c r="H38" i="24"/>
  <c r="H39" i="24"/>
  <c r="H40" i="24"/>
  <c r="H41" i="24"/>
  <c r="C3" i="25"/>
  <c r="D17" i="25"/>
  <c r="E17" i="25"/>
  <c r="J10" i="26"/>
  <c r="J13" i="26"/>
  <c r="J12" i="26"/>
  <c r="J15" i="26"/>
  <c r="D10" i="26"/>
  <c r="D11" i="26"/>
  <c r="D12" i="26"/>
  <c r="D13" i="26"/>
  <c r="D14" i="26"/>
  <c r="D13" i="14"/>
  <c r="J21" i="26"/>
  <c r="J24" i="26"/>
  <c r="J27" i="26"/>
  <c r="J30" i="26"/>
  <c r="J31" i="26"/>
  <c r="D21" i="26"/>
  <c r="D22" i="26"/>
  <c r="D23" i="26"/>
  <c r="D24" i="26"/>
  <c r="D16" i="14"/>
  <c r="J35" i="26"/>
  <c r="J38" i="26"/>
  <c r="J41" i="26"/>
  <c r="J42" i="26"/>
  <c r="D30" i="26"/>
  <c r="D31" i="26"/>
  <c r="D32" i="26"/>
  <c r="D17" i="14"/>
  <c r="J11" i="26"/>
  <c r="D19" i="26"/>
  <c r="D18" i="14"/>
  <c r="D18" i="26"/>
  <c r="D20" i="26"/>
  <c r="D19" i="14"/>
  <c r="D50" i="26"/>
  <c r="D20" i="14"/>
  <c r="D52" i="26"/>
  <c r="D45" i="26"/>
  <c r="D47" i="26"/>
  <c r="D48" i="26"/>
  <c r="D21" i="14"/>
  <c r="D33" i="26"/>
  <c r="D34" i="26"/>
  <c r="D35" i="26"/>
  <c r="D36" i="26"/>
  <c r="D37" i="26"/>
  <c r="D38" i="26"/>
  <c r="D39" i="26"/>
  <c r="D40" i="26"/>
  <c r="D41" i="26"/>
  <c r="D42" i="26"/>
  <c r="D43" i="26"/>
  <c r="D44" i="26"/>
  <c r="D46" i="26"/>
  <c r="D49" i="26"/>
  <c r="D51" i="26"/>
  <c r="D53" i="26"/>
  <c r="D54" i="26"/>
  <c r="D55" i="26"/>
  <c r="D56" i="26"/>
  <c r="D57" i="26"/>
  <c r="D58" i="26"/>
  <c r="D59" i="26"/>
  <c r="D22" i="14"/>
  <c r="D23" i="14"/>
  <c r="D26" i="14"/>
  <c r="J10" i="27"/>
  <c r="J13" i="27"/>
  <c r="J12" i="27"/>
  <c r="J15" i="27"/>
  <c r="D10" i="27"/>
  <c r="D11" i="27"/>
  <c r="D12" i="27"/>
  <c r="D13" i="27"/>
  <c r="D14" i="27"/>
  <c r="E13" i="14"/>
  <c r="J21" i="27"/>
  <c r="J24" i="27"/>
  <c r="J27" i="27"/>
  <c r="J30" i="27"/>
  <c r="J31" i="27"/>
  <c r="D21" i="27"/>
  <c r="D22" i="27"/>
  <c r="D23" i="27"/>
  <c r="D24" i="27"/>
  <c r="E16" i="14"/>
  <c r="J35" i="27"/>
  <c r="J38" i="27"/>
  <c r="J41" i="27"/>
  <c r="J42" i="27"/>
  <c r="D30" i="27"/>
  <c r="D31" i="27"/>
  <c r="D32" i="27"/>
  <c r="E17" i="14"/>
  <c r="J11" i="27"/>
  <c r="D19" i="27"/>
  <c r="E18" i="14"/>
  <c r="D18" i="27"/>
  <c r="D20" i="27"/>
  <c r="E19" i="14"/>
  <c r="D50" i="27"/>
  <c r="E20" i="14"/>
  <c r="D52" i="27"/>
  <c r="D45" i="27"/>
  <c r="D47" i="27"/>
  <c r="D48" i="27"/>
  <c r="E21" i="14"/>
  <c r="D33" i="27"/>
  <c r="D34" i="27"/>
  <c r="D35" i="27"/>
  <c r="D36" i="27"/>
  <c r="D37" i="27"/>
  <c r="D38" i="27"/>
  <c r="D39" i="27"/>
  <c r="D40" i="27"/>
  <c r="D41" i="27"/>
  <c r="D42" i="27"/>
  <c r="D43" i="27"/>
  <c r="D44" i="27"/>
  <c r="D46" i="27"/>
  <c r="D49" i="27"/>
  <c r="D51" i="27"/>
  <c r="D53" i="27"/>
  <c r="D54" i="27"/>
  <c r="D55" i="27"/>
  <c r="D56" i="27"/>
  <c r="D57" i="27"/>
  <c r="D58" i="27"/>
  <c r="D59" i="27"/>
  <c r="E22" i="14"/>
  <c r="E23" i="14"/>
  <c r="E26" i="14"/>
  <c r="J10" i="28"/>
  <c r="J13" i="28"/>
  <c r="J12" i="28"/>
  <c r="J15" i="28"/>
  <c r="D10" i="28"/>
  <c r="D11" i="28"/>
  <c r="D12" i="28"/>
  <c r="D13" i="28"/>
  <c r="D14" i="28"/>
  <c r="F13" i="14"/>
  <c r="J21" i="28"/>
  <c r="J24" i="28"/>
  <c r="J27" i="28"/>
  <c r="J30" i="28"/>
  <c r="J31" i="28"/>
  <c r="D21" i="28"/>
  <c r="D22" i="28"/>
  <c r="D23" i="28"/>
  <c r="D24" i="28"/>
  <c r="F16" i="14"/>
  <c r="J35" i="28"/>
  <c r="J38" i="28"/>
  <c r="J41" i="28"/>
  <c r="J42" i="28"/>
  <c r="D30" i="28"/>
  <c r="D31" i="28"/>
  <c r="D32" i="28"/>
  <c r="F17" i="14"/>
  <c r="J11" i="28"/>
  <c r="D19" i="28"/>
  <c r="F18" i="14"/>
  <c r="D18" i="28"/>
  <c r="D20" i="28"/>
  <c r="F19" i="14"/>
  <c r="D50" i="28"/>
  <c r="F20" i="14"/>
  <c r="D52" i="28"/>
  <c r="D45" i="28"/>
  <c r="D47" i="28"/>
  <c r="D48" i="28"/>
  <c r="F21" i="14"/>
  <c r="D33" i="28"/>
  <c r="D34" i="28"/>
  <c r="D35" i="28"/>
  <c r="D36" i="28"/>
  <c r="D37" i="28"/>
  <c r="D38" i="28"/>
  <c r="D39" i="28"/>
  <c r="D40" i="28"/>
  <c r="D41" i="28"/>
  <c r="D42" i="28"/>
  <c r="D43" i="28"/>
  <c r="D44" i="28"/>
  <c r="D46" i="28"/>
  <c r="D49" i="28"/>
  <c r="D51" i="28"/>
  <c r="D53" i="28"/>
  <c r="D54" i="28"/>
  <c r="D55" i="28"/>
  <c r="D56" i="28"/>
  <c r="D57" i="28"/>
  <c r="D58" i="28"/>
  <c r="D59" i="28"/>
  <c r="F22" i="14"/>
  <c r="F23" i="14"/>
  <c r="F26" i="14"/>
  <c r="J10" i="29"/>
  <c r="J13" i="29"/>
  <c r="J12" i="29"/>
  <c r="J15" i="29"/>
  <c r="D10" i="29"/>
  <c r="D11" i="29"/>
  <c r="D12" i="29"/>
  <c r="D13" i="29"/>
  <c r="D14" i="29"/>
  <c r="G13" i="14"/>
  <c r="J21" i="29"/>
  <c r="J24" i="29"/>
  <c r="J27" i="29"/>
  <c r="J30" i="29"/>
  <c r="J31" i="29"/>
  <c r="D21" i="29"/>
  <c r="D22" i="29"/>
  <c r="D23" i="29"/>
  <c r="D24" i="29"/>
  <c r="G16" i="14"/>
  <c r="J35" i="29"/>
  <c r="J38" i="29"/>
  <c r="J41" i="29"/>
  <c r="J42" i="29"/>
  <c r="D30" i="29"/>
  <c r="D31" i="29"/>
  <c r="D32" i="29"/>
  <c r="G17" i="14"/>
  <c r="J11" i="29"/>
  <c r="D19" i="29"/>
  <c r="G18" i="14"/>
  <c r="D18" i="29"/>
  <c r="D20" i="29"/>
  <c r="G19" i="14"/>
  <c r="D50" i="29"/>
  <c r="G20" i="14"/>
  <c r="D52" i="29"/>
  <c r="D45" i="29"/>
  <c r="D47" i="29"/>
  <c r="D48" i="29"/>
  <c r="G21" i="14"/>
  <c r="D33" i="29"/>
  <c r="D34" i="29"/>
  <c r="D35" i="29"/>
  <c r="D36" i="29"/>
  <c r="D37" i="29"/>
  <c r="D38" i="29"/>
  <c r="D39" i="29"/>
  <c r="D40" i="29"/>
  <c r="D41" i="29"/>
  <c r="D42" i="29"/>
  <c r="D43" i="29"/>
  <c r="D44" i="29"/>
  <c r="D46" i="29"/>
  <c r="D49" i="29"/>
  <c r="D51" i="29"/>
  <c r="D53" i="29"/>
  <c r="D54" i="29"/>
  <c r="D55" i="29"/>
  <c r="D56" i="29"/>
  <c r="D57" i="29"/>
  <c r="D58" i="29"/>
  <c r="D59" i="29"/>
  <c r="G22" i="14"/>
  <c r="G23" i="14"/>
  <c r="G26" i="14"/>
  <c r="J10" i="30"/>
  <c r="J13" i="30"/>
  <c r="J12" i="30"/>
  <c r="J15" i="30"/>
  <c r="D10" i="30"/>
  <c r="D11" i="30"/>
  <c r="D12" i="30"/>
  <c r="D13" i="30"/>
  <c r="D14" i="30"/>
  <c r="H13" i="14"/>
  <c r="J21" i="30"/>
  <c r="J24" i="30"/>
  <c r="J27" i="30"/>
  <c r="J30" i="30"/>
  <c r="J31" i="30"/>
  <c r="D21" i="30"/>
  <c r="D22" i="30"/>
  <c r="D23" i="30"/>
  <c r="D24" i="30"/>
  <c r="H16" i="14"/>
  <c r="J35" i="30"/>
  <c r="J38" i="30"/>
  <c r="J41" i="30"/>
  <c r="J42" i="30"/>
  <c r="D30" i="30"/>
  <c r="D31" i="30"/>
  <c r="D32" i="30"/>
  <c r="H17" i="14"/>
  <c r="J11" i="30"/>
  <c r="D19" i="30"/>
  <c r="H18" i="14"/>
  <c r="D18" i="30"/>
  <c r="D20" i="30"/>
  <c r="H19" i="14"/>
  <c r="D50" i="30"/>
  <c r="H20" i="14"/>
  <c r="D52" i="30"/>
  <c r="D45" i="30"/>
  <c r="D47" i="30"/>
  <c r="D48" i="30"/>
  <c r="H21" i="14"/>
  <c r="D33" i="30"/>
  <c r="D34" i="30"/>
  <c r="D35" i="30"/>
  <c r="D36" i="30"/>
  <c r="D37" i="30"/>
  <c r="D38" i="30"/>
  <c r="D39" i="30"/>
  <c r="D40" i="30"/>
  <c r="D41" i="30"/>
  <c r="D42" i="30"/>
  <c r="D43" i="30"/>
  <c r="D44" i="30"/>
  <c r="D46" i="30"/>
  <c r="D49" i="30"/>
  <c r="D51" i="30"/>
  <c r="D53" i="30"/>
  <c r="D54" i="30"/>
  <c r="D55" i="30"/>
  <c r="D56" i="30"/>
  <c r="D57" i="30"/>
  <c r="D58" i="30"/>
  <c r="D59" i="30"/>
  <c r="H22" i="14"/>
  <c r="H23" i="14"/>
  <c r="H26" i="14"/>
  <c r="J10" i="31"/>
  <c r="J13" i="31"/>
  <c r="J12" i="31"/>
  <c r="J15" i="31"/>
  <c r="D10" i="31"/>
  <c r="D11" i="31"/>
  <c r="D12" i="31"/>
  <c r="D13" i="31"/>
  <c r="D14" i="31"/>
  <c r="I13" i="14"/>
  <c r="J21" i="31"/>
  <c r="J24" i="31"/>
  <c r="J27" i="31"/>
  <c r="J30" i="31"/>
  <c r="J31" i="31"/>
  <c r="D21" i="31"/>
  <c r="D22" i="31"/>
  <c r="D23" i="31"/>
  <c r="D24" i="31"/>
  <c r="I16" i="14"/>
  <c r="J35" i="31"/>
  <c r="J38" i="31"/>
  <c r="J41" i="31"/>
  <c r="J42" i="31"/>
  <c r="D30" i="31"/>
  <c r="D31" i="31"/>
  <c r="D32" i="31"/>
  <c r="I17" i="14"/>
  <c r="J11" i="31"/>
  <c r="D19" i="31"/>
  <c r="I18" i="14"/>
  <c r="D18" i="31"/>
  <c r="D20" i="31"/>
  <c r="I19" i="14"/>
  <c r="D50" i="31"/>
  <c r="I20" i="14"/>
  <c r="D52" i="31"/>
  <c r="D45" i="31"/>
  <c r="D47" i="31"/>
  <c r="D48" i="31"/>
  <c r="I21" i="14"/>
  <c r="D33" i="31"/>
  <c r="D34" i="31"/>
  <c r="D35" i="31"/>
  <c r="D36" i="31"/>
  <c r="D37" i="31"/>
  <c r="D38" i="31"/>
  <c r="D39" i="31"/>
  <c r="D40" i="31"/>
  <c r="D41" i="31"/>
  <c r="D42" i="31"/>
  <c r="D43" i="31"/>
  <c r="D44" i="31"/>
  <c r="D46" i="31"/>
  <c r="D49" i="31"/>
  <c r="D51" i="31"/>
  <c r="D53" i="31"/>
  <c r="D54" i="31"/>
  <c r="D55" i="31"/>
  <c r="D56" i="31"/>
  <c r="D57" i="31"/>
  <c r="D58" i="31"/>
  <c r="D59" i="31"/>
  <c r="I22" i="14"/>
  <c r="I23" i="14"/>
  <c r="I26" i="14"/>
  <c r="J10" i="32"/>
  <c r="J13" i="32"/>
  <c r="J12" i="32"/>
  <c r="J15" i="32"/>
  <c r="D10" i="32"/>
  <c r="D11" i="32"/>
  <c r="D12" i="32"/>
  <c r="D13" i="32"/>
  <c r="D14" i="32"/>
  <c r="J13" i="14"/>
  <c r="J21" i="32"/>
  <c r="J24" i="32"/>
  <c r="J27" i="32"/>
  <c r="J30" i="32"/>
  <c r="J31" i="32"/>
  <c r="D21" i="32"/>
  <c r="D22" i="32"/>
  <c r="D23" i="32"/>
  <c r="D24" i="32"/>
  <c r="J16" i="14"/>
  <c r="J35" i="32"/>
  <c r="J38" i="32"/>
  <c r="J41" i="32"/>
  <c r="J42" i="32"/>
  <c r="D30" i="32"/>
  <c r="D31" i="32"/>
  <c r="D32" i="32"/>
  <c r="J17" i="14"/>
  <c r="J11" i="32"/>
  <c r="D19" i="32"/>
  <c r="J18" i="14"/>
  <c r="D18" i="32"/>
  <c r="D20" i="32"/>
  <c r="J19" i="14"/>
  <c r="D50" i="32"/>
  <c r="J20" i="14"/>
  <c r="D52" i="32"/>
  <c r="D45" i="32"/>
  <c r="D47" i="32"/>
  <c r="D48" i="32"/>
  <c r="J21" i="14"/>
  <c r="D33" i="32"/>
  <c r="D34" i="32"/>
  <c r="D35" i="32"/>
  <c r="D36" i="32"/>
  <c r="D37" i="32"/>
  <c r="D38" i="32"/>
  <c r="D39" i="32"/>
  <c r="D40" i="32"/>
  <c r="D41" i="32"/>
  <c r="D42" i="32"/>
  <c r="D43" i="32"/>
  <c r="D44" i="32"/>
  <c r="D46" i="32"/>
  <c r="D49" i="32"/>
  <c r="D51" i="32"/>
  <c r="D53" i="32"/>
  <c r="D54" i="32"/>
  <c r="D55" i="32"/>
  <c r="D56" i="32"/>
  <c r="D57" i="32"/>
  <c r="D58" i="32"/>
  <c r="D59" i="32"/>
  <c r="J22" i="14"/>
  <c r="J23" i="14"/>
  <c r="J26" i="14"/>
  <c r="J10" i="33"/>
  <c r="J13" i="33"/>
  <c r="J12" i="33"/>
  <c r="J15" i="33"/>
  <c r="D10" i="33"/>
  <c r="D11" i="33"/>
  <c r="D12" i="33"/>
  <c r="D13" i="33"/>
  <c r="D14" i="33"/>
  <c r="K13" i="14"/>
  <c r="J21" i="33"/>
  <c r="J24" i="33"/>
  <c r="J27" i="33"/>
  <c r="J30" i="33"/>
  <c r="J31" i="33"/>
  <c r="D21" i="33"/>
  <c r="D22" i="33"/>
  <c r="D23" i="33"/>
  <c r="D24" i="33"/>
  <c r="K16" i="14"/>
  <c r="J35" i="33"/>
  <c r="J38" i="33"/>
  <c r="J41" i="33"/>
  <c r="J42" i="33"/>
  <c r="D30" i="33"/>
  <c r="D31" i="33"/>
  <c r="D32" i="33"/>
  <c r="K17" i="14"/>
  <c r="J11" i="33"/>
  <c r="D19" i="33"/>
  <c r="K18" i="14"/>
  <c r="D18" i="33"/>
  <c r="D20" i="33"/>
  <c r="K19" i="14"/>
  <c r="D50" i="33"/>
  <c r="K20" i="14"/>
  <c r="D52" i="33"/>
  <c r="D45" i="33"/>
  <c r="D47" i="33"/>
  <c r="D48" i="33"/>
  <c r="K21" i="14"/>
  <c r="D33" i="33"/>
  <c r="D34" i="33"/>
  <c r="D35" i="33"/>
  <c r="D36" i="33"/>
  <c r="D37" i="33"/>
  <c r="D38" i="33"/>
  <c r="D39" i="33"/>
  <c r="D40" i="33"/>
  <c r="D41" i="33"/>
  <c r="D42" i="33"/>
  <c r="D43" i="33"/>
  <c r="D44" i="33"/>
  <c r="D46" i="33"/>
  <c r="D49" i="33"/>
  <c r="D51" i="33"/>
  <c r="D53" i="33"/>
  <c r="D54" i="33"/>
  <c r="D55" i="33"/>
  <c r="D56" i="33"/>
  <c r="D57" i="33"/>
  <c r="D58" i="33"/>
  <c r="D59" i="33"/>
  <c r="K22" i="14"/>
  <c r="K23" i="14"/>
  <c r="K26" i="14"/>
  <c r="J10" i="34"/>
  <c r="J13" i="34"/>
  <c r="J12" i="34"/>
  <c r="J15" i="34"/>
  <c r="D10" i="34"/>
  <c r="D11" i="34"/>
  <c r="D12" i="34"/>
  <c r="D13" i="34"/>
  <c r="D14" i="34"/>
  <c r="L13" i="14"/>
  <c r="J21" i="34"/>
  <c r="J24" i="34"/>
  <c r="J27" i="34"/>
  <c r="J30" i="34"/>
  <c r="J31" i="34"/>
  <c r="D21" i="34"/>
  <c r="D22" i="34"/>
  <c r="D23" i="34"/>
  <c r="D24" i="34"/>
  <c r="L16" i="14"/>
  <c r="J35" i="34"/>
  <c r="J38" i="34"/>
  <c r="J41" i="34"/>
  <c r="J42" i="34"/>
  <c r="D30" i="34"/>
  <c r="D31" i="34"/>
  <c r="D32" i="34"/>
  <c r="L17" i="14"/>
  <c r="J11" i="34"/>
  <c r="D19" i="34"/>
  <c r="L18" i="14"/>
  <c r="D18" i="34"/>
  <c r="D20" i="34"/>
  <c r="L19" i="14"/>
  <c r="D50" i="34"/>
  <c r="L20" i="14"/>
  <c r="D52" i="34"/>
  <c r="D45" i="34"/>
  <c r="D47" i="34"/>
  <c r="D48" i="34"/>
  <c r="L21" i="14"/>
  <c r="D33" i="34"/>
  <c r="D34" i="34"/>
  <c r="D35" i="34"/>
  <c r="D36" i="34"/>
  <c r="D37" i="34"/>
  <c r="D38" i="34"/>
  <c r="D39" i="34"/>
  <c r="D40" i="34"/>
  <c r="D41" i="34"/>
  <c r="D42" i="34"/>
  <c r="D43" i="34"/>
  <c r="D44" i="34"/>
  <c r="D46" i="34"/>
  <c r="D49" i="34"/>
  <c r="D51" i="34"/>
  <c r="D53" i="34"/>
  <c r="D54" i="34"/>
  <c r="D55" i="34"/>
  <c r="D56" i="34"/>
  <c r="D57" i="34"/>
  <c r="D58" i="34"/>
  <c r="D59" i="34"/>
  <c r="L22" i="14"/>
  <c r="L23" i="14"/>
  <c r="L26" i="14"/>
  <c r="J10" i="35"/>
  <c r="J13" i="35"/>
  <c r="J12" i="35"/>
  <c r="J15" i="35"/>
  <c r="D10" i="35"/>
  <c r="D11" i="35"/>
  <c r="D12" i="35"/>
  <c r="D13" i="35"/>
  <c r="D14" i="35"/>
  <c r="M13" i="14"/>
  <c r="J21" i="35"/>
  <c r="J24" i="35"/>
  <c r="J27" i="35"/>
  <c r="J30" i="35"/>
  <c r="J31" i="35"/>
  <c r="D21" i="35"/>
  <c r="D22" i="35"/>
  <c r="D23" i="35"/>
  <c r="D24" i="35"/>
  <c r="M16" i="14"/>
  <c r="J35" i="35"/>
  <c r="J38" i="35"/>
  <c r="J41" i="35"/>
  <c r="J42" i="35"/>
  <c r="D30" i="35"/>
  <c r="D31" i="35"/>
  <c r="D32" i="35"/>
  <c r="M17" i="14"/>
  <c r="J11" i="35"/>
  <c r="D19" i="35"/>
  <c r="M18" i="14"/>
  <c r="D18" i="35"/>
  <c r="D20" i="35"/>
  <c r="M19" i="14"/>
  <c r="D50" i="35"/>
  <c r="M20" i="14"/>
  <c r="D52" i="35"/>
  <c r="D45" i="35"/>
  <c r="D47" i="35"/>
  <c r="D48" i="35"/>
  <c r="M21" i="14"/>
  <c r="D33" i="35"/>
  <c r="D34" i="35"/>
  <c r="D35" i="35"/>
  <c r="D36" i="35"/>
  <c r="D37" i="35"/>
  <c r="D38" i="35"/>
  <c r="D39" i="35"/>
  <c r="D40" i="35"/>
  <c r="D41" i="35"/>
  <c r="D42" i="35"/>
  <c r="D43" i="35"/>
  <c r="D44" i="35"/>
  <c r="D46" i="35"/>
  <c r="D49" i="35"/>
  <c r="D51" i="35"/>
  <c r="D53" i="35"/>
  <c r="D54" i="35"/>
  <c r="D55" i="35"/>
  <c r="D56" i="35"/>
  <c r="D57" i="35"/>
  <c r="D58" i="35"/>
  <c r="D59" i="35"/>
  <c r="M22" i="14"/>
  <c r="M23" i="14"/>
  <c r="M26" i="14"/>
  <c r="J10" i="36"/>
  <c r="J13" i="36"/>
  <c r="J12" i="36"/>
  <c r="J15" i="36"/>
  <c r="D10" i="36"/>
  <c r="D11" i="36"/>
  <c r="D12" i="36"/>
  <c r="D13" i="36"/>
  <c r="D14" i="36"/>
  <c r="N13" i="14"/>
  <c r="J21" i="36"/>
  <c r="J24" i="36"/>
  <c r="J27" i="36"/>
  <c r="J30" i="36"/>
  <c r="J31" i="36"/>
  <c r="D21" i="36"/>
  <c r="D22" i="36"/>
  <c r="D23" i="36"/>
  <c r="D24" i="36"/>
  <c r="N16" i="14"/>
  <c r="J35" i="36"/>
  <c r="J38" i="36"/>
  <c r="J41" i="36"/>
  <c r="J42" i="36"/>
  <c r="D30" i="36"/>
  <c r="D31" i="36"/>
  <c r="D32" i="36"/>
  <c r="N17" i="14"/>
  <c r="J11" i="36"/>
  <c r="D19" i="36"/>
  <c r="N18" i="14"/>
  <c r="D18" i="36"/>
  <c r="D20" i="36"/>
  <c r="N19" i="14"/>
  <c r="D50" i="36"/>
  <c r="N20" i="14"/>
  <c r="D52" i="36"/>
  <c r="D45" i="36"/>
  <c r="D47" i="36"/>
  <c r="D48" i="36"/>
  <c r="N21" i="14"/>
  <c r="D33" i="36"/>
  <c r="D34" i="36"/>
  <c r="D35" i="36"/>
  <c r="D36" i="36"/>
  <c r="D37" i="36"/>
  <c r="D38" i="36"/>
  <c r="D39" i="36"/>
  <c r="D40" i="36"/>
  <c r="D41" i="36"/>
  <c r="D42" i="36"/>
  <c r="D43" i="36"/>
  <c r="D44" i="36"/>
  <c r="D46" i="36"/>
  <c r="D49" i="36"/>
  <c r="D51" i="36"/>
  <c r="D53" i="36"/>
  <c r="D54" i="36"/>
  <c r="D55" i="36"/>
  <c r="D56" i="36"/>
  <c r="D57" i="36"/>
  <c r="D58" i="36"/>
  <c r="D59" i="36"/>
  <c r="N22" i="14"/>
  <c r="N23" i="14"/>
  <c r="N26" i="14"/>
  <c r="J10" i="37"/>
  <c r="J13" i="37"/>
  <c r="J12" i="37"/>
  <c r="J15" i="37"/>
  <c r="D10" i="37"/>
  <c r="D11" i="37"/>
  <c r="D12" i="37"/>
  <c r="D13" i="37"/>
  <c r="D14" i="37"/>
  <c r="O13" i="14"/>
  <c r="J21" i="37"/>
  <c r="J24" i="37"/>
  <c r="J27" i="37"/>
  <c r="J30" i="37"/>
  <c r="J31" i="37"/>
  <c r="D21" i="37"/>
  <c r="D22" i="37"/>
  <c r="D23" i="37"/>
  <c r="D24" i="37"/>
  <c r="O16" i="14"/>
  <c r="J35" i="37"/>
  <c r="J38" i="37"/>
  <c r="J41" i="37"/>
  <c r="J42" i="37"/>
  <c r="D30" i="37"/>
  <c r="D31" i="37"/>
  <c r="D32" i="37"/>
  <c r="O17" i="14"/>
  <c r="J11" i="37"/>
  <c r="D19" i="37"/>
  <c r="O18" i="14"/>
  <c r="D18" i="37"/>
  <c r="D20" i="37"/>
  <c r="O19" i="14"/>
  <c r="D50" i="37"/>
  <c r="O20" i="14"/>
  <c r="D52" i="37"/>
  <c r="D45" i="37"/>
  <c r="D47" i="37"/>
  <c r="D48" i="37"/>
  <c r="O21" i="14"/>
  <c r="D33" i="37"/>
  <c r="D34" i="37"/>
  <c r="D35" i="37"/>
  <c r="D36" i="37"/>
  <c r="D37" i="37"/>
  <c r="D38" i="37"/>
  <c r="D39" i="37"/>
  <c r="D40" i="37"/>
  <c r="D41" i="37"/>
  <c r="D42" i="37"/>
  <c r="D43" i="37"/>
  <c r="D44" i="37"/>
  <c r="D46" i="37"/>
  <c r="D49" i="37"/>
  <c r="D51" i="37"/>
  <c r="D53" i="37"/>
  <c r="D54" i="37"/>
  <c r="D55" i="37"/>
  <c r="D56" i="37"/>
  <c r="D57" i="37"/>
  <c r="D58" i="37"/>
  <c r="D59" i="37"/>
  <c r="O22" i="14"/>
  <c r="O23" i="14"/>
  <c r="O26" i="14"/>
  <c r="D20" i="25"/>
  <c r="D38" i="25"/>
  <c r="D40" i="25"/>
  <c r="C3" i="26"/>
  <c r="C4" i="26"/>
  <c r="C5" i="26"/>
  <c r="D25" i="26"/>
  <c r="D60" i="26"/>
  <c r="J46" i="26"/>
  <c r="E18" i="26"/>
  <c r="E19" i="26"/>
  <c r="J19" i="26"/>
  <c r="E20" i="26"/>
  <c r="J20" i="26"/>
  <c r="E21" i="26"/>
  <c r="E22" i="26"/>
  <c r="J22" i="26"/>
  <c r="E23" i="26"/>
  <c r="J23" i="26"/>
  <c r="E24" i="26"/>
  <c r="E25" i="26"/>
  <c r="J25" i="26"/>
  <c r="D26" i="26"/>
  <c r="J26" i="26"/>
  <c r="J28" i="26"/>
  <c r="J29" i="26"/>
  <c r="E30" i="26"/>
  <c r="E31" i="26"/>
  <c r="E32" i="26"/>
  <c r="E33" i="26"/>
  <c r="J33" i="26"/>
  <c r="E34" i="26"/>
  <c r="J34" i="26"/>
  <c r="E35" i="26"/>
  <c r="E36" i="26"/>
  <c r="J36" i="26"/>
  <c r="E37" i="26"/>
  <c r="J37" i="26"/>
  <c r="E38" i="26"/>
  <c r="E39" i="26"/>
  <c r="J39" i="26"/>
  <c r="E40" i="26"/>
  <c r="J40" i="26"/>
  <c r="E41" i="26"/>
  <c r="E42" i="26"/>
  <c r="E43" i="26"/>
  <c r="J43" i="26"/>
  <c r="E44" i="26"/>
  <c r="E45" i="26"/>
  <c r="E46" i="26"/>
  <c r="E60" i="26"/>
  <c r="K46" i="26"/>
  <c r="E47" i="26"/>
  <c r="E48" i="26"/>
  <c r="J48" i="26"/>
  <c r="E49" i="26"/>
  <c r="E50" i="26"/>
  <c r="E51" i="26"/>
  <c r="E52" i="26"/>
  <c r="E53" i="26"/>
  <c r="E54" i="26"/>
  <c r="E55" i="26"/>
  <c r="E56" i="26"/>
  <c r="E57" i="26"/>
  <c r="E58" i="26"/>
  <c r="E59" i="26"/>
  <c r="C3" i="27"/>
  <c r="C4" i="27"/>
  <c r="C5" i="27"/>
  <c r="D25" i="27"/>
  <c r="D60" i="27"/>
  <c r="J46" i="27"/>
  <c r="E18" i="27"/>
  <c r="E19" i="27"/>
  <c r="J19" i="27"/>
  <c r="E20" i="27"/>
  <c r="J20" i="27"/>
  <c r="E21" i="27"/>
  <c r="E22" i="27"/>
  <c r="J22" i="27"/>
  <c r="E23" i="27"/>
  <c r="J23" i="27"/>
  <c r="E24" i="27"/>
  <c r="E25" i="27"/>
  <c r="J25" i="27"/>
  <c r="D26" i="27"/>
  <c r="J26" i="27"/>
  <c r="J28" i="27"/>
  <c r="J29" i="27"/>
  <c r="E30" i="27"/>
  <c r="E31" i="27"/>
  <c r="E32" i="27"/>
  <c r="E33" i="27"/>
  <c r="J33" i="27"/>
  <c r="E34" i="27"/>
  <c r="J34" i="27"/>
  <c r="E35" i="27"/>
  <c r="E36" i="27"/>
  <c r="J36" i="27"/>
  <c r="E37" i="27"/>
  <c r="J37" i="27"/>
  <c r="E38" i="27"/>
  <c r="E39" i="27"/>
  <c r="J39" i="27"/>
  <c r="E40" i="27"/>
  <c r="J40" i="27"/>
  <c r="E41" i="27"/>
  <c r="E42" i="27"/>
  <c r="E43" i="27"/>
  <c r="J43" i="27"/>
  <c r="E44" i="27"/>
  <c r="E45" i="27"/>
  <c r="E46" i="27"/>
  <c r="E60" i="27"/>
  <c r="K46" i="27"/>
  <c r="E47" i="27"/>
  <c r="E48" i="27"/>
  <c r="J48" i="27"/>
  <c r="E49" i="27"/>
  <c r="E50" i="27"/>
  <c r="E51" i="27"/>
  <c r="E52" i="27"/>
  <c r="E53" i="27"/>
  <c r="E54" i="27"/>
  <c r="E55" i="27"/>
  <c r="E56" i="27"/>
  <c r="E57" i="27"/>
  <c r="E58" i="27"/>
  <c r="E59" i="27"/>
  <c r="C3" i="28"/>
  <c r="C4" i="28"/>
  <c r="C5" i="28"/>
  <c r="D25" i="28"/>
  <c r="D60" i="28"/>
  <c r="J46" i="28"/>
  <c r="E18" i="28"/>
  <c r="E19" i="28"/>
  <c r="J19" i="28"/>
  <c r="E20" i="28"/>
  <c r="J20" i="28"/>
  <c r="E21" i="28"/>
  <c r="E22" i="28"/>
  <c r="J22" i="28"/>
  <c r="E23" i="28"/>
  <c r="J23" i="28"/>
  <c r="E24" i="28"/>
  <c r="E25" i="28"/>
  <c r="J25" i="28"/>
  <c r="D26" i="28"/>
  <c r="J26" i="28"/>
  <c r="J28" i="28"/>
  <c r="J29" i="28"/>
  <c r="E30" i="28"/>
  <c r="E31" i="28"/>
  <c r="E32" i="28"/>
  <c r="E33" i="28"/>
  <c r="J33" i="28"/>
  <c r="E34" i="28"/>
  <c r="J34" i="28"/>
  <c r="E35" i="28"/>
  <c r="E36" i="28"/>
  <c r="J36" i="28"/>
  <c r="E37" i="28"/>
  <c r="J37" i="28"/>
  <c r="E38" i="28"/>
  <c r="E39" i="28"/>
  <c r="J39" i="28"/>
  <c r="E40" i="28"/>
  <c r="J40" i="28"/>
  <c r="E41" i="28"/>
  <c r="E42" i="28"/>
  <c r="E43" i="28"/>
  <c r="J43" i="28"/>
  <c r="E44" i="28"/>
  <c r="E45" i="28"/>
  <c r="E46" i="28"/>
  <c r="E60" i="28"/>
  <c r="K46" i="28"/>
  <c r="E47" i="28"/>
  <c r="E48" i="28"/>
  <c r="J48" i="28"/>
  <c r="E49" i="28"/>
  <c r="E50" i="28"/>
  <c r="E51" i="28"/>
  <c r="E52" i="28"/>
  <c r="E53" i="28"/>
  <c r="E54" i="28"/>
  <c r="E55" i="28"/>
  <c r="E56" i="28"/>
  <c r="E57" i="28"/>
  <c r="E58" i="28"/>
  <c r="E59" i="28"/>
  <c r="C3" i="29"/>
  <c r="C4" i="29"/>
  <c r="C5" i="29"/>
  <c r="D25" i="29"/>
  <c r="D60" i="29"/>
  <c r="J46" i="29"/>
  <c r="E18" i="29"/>
  <c r="E19" i="29"/>
  <c r="J19" i="29"/>
  <c r="E20" i="29"/>
  <c r="J20" i="29"/>
  <c r="E21" i="29"/>
  <c r="E22" i="29"/>
  <c r="J22" i="29"/>
  <c r="E23" i="29"/>
  <c r="J23" i="29"/>
  <c r="E24" i="29"/>
  <c r="E25" i="29"/>
  <c r="J25" i="29"/>
  <c r="D26" i="29"/>
  <c r="J26" i="29"/>
  <c r="J28" i="29"/>
  <c r="J29" i="29"/>
  <c r="E30" i="29"/>
  <c r="E31" i="29"/>
  <c r="E32" i="29"/>
  <c r="E33" i="29"/>
  <c r="J33" i="29"/>
  <c r="E34" i="29"/>
  <c r="J34" i="29"/>
  <c r="E35" i="29"/>
  <c r="E36" i="29"/>
  <c r="J36" i="29"/>
  <c r="E37" i="29"/>
  <c r="J37" i="29"/>
  <c r="E38" i="29"/>
  <c r="E39" i="29"/>
  <c r="J39" i="29"/>
  <c r="E40" i="29"/>
  <c r="J40" i="29"/>
  <c r="E41" i="29"/>
  <c r="E42" i="29"/>
  <c r="E43" i="29"/>
  <c r="J43" i="29"/>
  <c r="E44" i="29"/>
  <c r="E45" i="29"/>
  <c r="E46" i="29"/>
  <c r="E60" i="29"/>
  <c r="K46" i="29"/>
  <c r="E47" i="29"/>
  <c r="E48" i="29"/>
  <c r="J48" i="29"/>
  <c r="E49" i="29"/>
  <c r="E50" i="29"/>
  <c r="E51" i="29"/>
  <c r="E52" i="29"/>
  <c r="E53" i="29"/>
  <c r="E54" i="29"/>
  <c r="E55" i="29"/>
  <c r="E56" i="29"/>
  <c r="E57" i="29"/>
  <c r="E58" i="29"/>
  <c r="E59" i="29"/>
  <c r="C3" i="30"/>
  <c r="C4" i="30"/>
  <c r="C5" i="30"/>
  <c r="D25" i="30"/>
  <c r="D60" i="30"/>
  <c r="J46" i="30"/>
  <c r="E18" i="30"/>
  <c r="E19" i="30"/>
  <c r="J19" i="30"/>
  <c r="E20" i="30"/>
  <c r="J20" i="30"/>
  <c r="E21" i="30"/>
  <c r="E22" i="30"/>
  <c r="J22" i="30"/>
  <c r="E23" i="30"/>
  <c r="J23" i="30"/>
  <c r="E24" i="30"/>
  <c r="E25" i="30"/>
  <c r="J25" i="30"/>
  <c r="D26" i="30"/>
  <c r="J26" i="30"/>
  <c r="J28" i="30"/>
  <c r="J29" i="30"/>
  <c r="E30" i="30"/>
  <c r="E31" i="30"/>
  <c r="E32" i="30"/>
  <c r="E33" i="30"/>
  <c r="J33" i="30"/>
  <c r="E34" i="30"/>
  <c r="J34" i="30"/>
  <c r="E35" i="30"/>
  <c r="E36" i="30"/>
  <c r="J36" i="30"/>
  <c r="E37" i="30"/>
  <c r="J37" i="30"/>
  <c r="E38" i="30"/>
  <c r="E39" i="30"/>
  <c r="J39" i="30"/>
  <c r="E40" i="30"/>
  <c r="J40" i="30"/>
  <c r="E41" i="30"/>
  <c r="E42" i="30"/>
  <c r="E43" i="30"/>
  <c r="J43" i="30"/>
  <c r="E44" i="30"/>
  <c r="E45" i="30"/>
  <c r="E46" i="30"/>
  <c r="E60" i="30"/>
  <c r="K46" i="30"/>
  <c r="E47" i="30"/>
  <c r="E48" i="30"/>
  <c r="J48" i="30"/>
  <c r="E49" i="30"/>
  <c r="E50" i="30"/>
  <c r="E51" i="30"/>
  <c r="E52" i="30"/>
  <c r="E53" i="30"/>
  <c r="E54" i="30"/>
  <c r="E55" i="30"/>
  <c r="E56" i="30"/>
  <c r="E57" i="30"/>
  <c r="E58" i="30"/>
  <c r="E59" i="30"/>
  <c r="C3" i="31"/>
  <c r="C4" i="31"/>
  <c r="C5" i="31"/>
  <c r="D25" i="31"/>
  <c r="D60" i="31"/>
  <c r="J46" i="31"/>
  <c r="E18" i="31"/>
  <c r="E19" i="31"/>
  <c r="J19" i="31"/>
  <c r="E20" i="31"/>
  <c r="J20" i="31"/>
  <c r="E21" i="31"/>
  <c r="E22" i="31"/>
  <c r="J22" i="31"/>
  <c r="E23" i="31"/>
  <c r="J23" i="31"/>
  <c r="E24" i="31"/>
  <c r="E25" i="31"/>
  <c r="J25" i="31"/>
  <c r="D26" i="31"/>
  <c r="J26" i="31"/>
  <c r="J28" i="31"/>
  <c r="J29" i="31"/>
  <c r="E30" i="31"/>
  <c r="E31" i="31"/>
  <c r="E32" i="31"/>
  <c r="E33" i="31"/>
  <c r="J33" i="31"/>
  <c r="E34" i="31"/>
  <c r="J34" i="31"/>
  <c r="E35" i="31"/>
  <c r="E36" i="31"/>
  <c r="J36" i="31"/>
  <c r="E37" i="31"/>
  <c r="J37" i="31"/>
  <c r="E38" i="31"/>
  <c r="E39" i="31"/>
  <c r="J39" i="31"/>
  <c r="E40" i="31"/>
  <c r="J40" i="31"/>
  <c r="E41" i="31"/>
  <c r="E42" i="31"/>
  <c r="E43" i="31"/>
  <c r="J43" i="31"/>
  <c r="E44" i="31"/>
  <c r="E45" i="31"/>
  <c r="E46" i="31"/>
  <c r="E60" i="31"/>
  <c r="K46" i="31"/>
  <c r="E47" i="31"/>
  <c r="E48" i="31"/>
  <c r="J48" i="31"/>
  <c r="E49" i="31"/>
  <c r="E50" i="31"/>
  <c r="E51" i="31"/>
  <c r="E52" i="31"/>
  <c r="E53" i="31"/>
  <c r="E54" i="31"/>
  <c r="E55" i="31"/>
  <c r="E56" i="31"/>
  <c r="E57" i="31"/>
  <c r="E58" i="31"/>
  <c r="E59" i="31"/>
  <c r="C3" i="32"/>
  <c r="C4" i="32"/>
  <c r="C5" i="32"/>
  <c r="D25" i="32"/>
  <c r="D60" i="32"/>
  <c r="J46" i="32"/>
  <c r="E18" i="32"/>
  <c r="E19" i="32"/>
  <c r="J19" i="32"/>
  <c r="E20" i="32"/>
  <c r="J20" i="32"/>
  <c r="E21" i="32"/>
  <c r="E22" i="32"/>
  <c r="J22" i="32"/>
  <c r="E23" i="32"/>
  <c r="J23" i="32"/>
  <c r="E24" i="32"/>
  <c r="E25" i="32"/>
  <c r="J25" i="32"/>
  <c r="D26" i="32"/>
  <c r="J26" i="32"/>
  <c r="J28" i="32"/>
  <c r="J29" i="32"/>
  <c r="E30" i="32"/>
  <c r="E31" i="32"/>
  <c r="E32" i="32"/>
  <c r="E33" i="32"/>
  <c r="J33" i="32"/>
  <c r="E34" i="32"/>
  <c r="J34" i="32"/>
  <c r="E35" i="32"/>
  <c r="E36" i="32"/>
  <c r="J36" i="32"/>
  <c r="E37" i="32"/>
  <c r="J37" i="32"/>
  <c r="E38" i="32"/>
  <c r="E39" i="32"/>
  <c r="J39" i="32"/>
  <c r="E40" i="32"/>
  <c r="J40" i="32"/>
  <c r="E41" i="32"/>
  <c r="E42" i="32"/>
  <c r="E43" i="32"/>
  <c r="J43" i="32"/>
  <c r="E44" i="32"/>
  <c r="E45" i="32"/>
  <c r="E46" i="32"/>
  <c r="E60" i="32"/>
  <c r="K46" i="32"/>
  <c r="E47" i="32"/>
  <c r="E48" i="32"/>
  <c r="J48" i="32"/>
  <c r="E49" i="32"/>
  <c r="E50" i="32"/>
  <c r="E51" i="32"/>
  <c r="E52" i="32"/>
  <c r="E53" i="32"/>
  <c r="E54" i="32"/>
  <c r="E55" i="32"/>
  <c r="E56" i="32"/>
  <c r="E57" i="32"/>
  <c r="E58" i="32"/>
  <c r="E59" i="32"/>
  <c r="C3" i="33"/>
  <c r="C4" i="33"/>
  <c r="C5" i="33"/>
  <c r="D25" i="33"/>
  <c r="D60" i="33"/>
  <c r="J46" i="33"/>
  <c r="E18" i="33"/>
  <c r="E19" i="33"/>
  <c r="J19" i="33"/>
  <c r="E20" i="33"/>
  <c r="J20" i="33"/>
  <c r="E21" i="33"/>
  <c r="E22" i="33"/>
  <c r="J22" i="33"/>
  <c r="E23" i="33"/>
  <c r="J23" i="33"/>
  <c r="E24" i="33"/>
  <c r="E25" i="33"/>
  <c r="J25" i="33"/>
  <c r="D26" i="33"/>
  <c r="J26" i="33"/>
  <c r="J28" i="33"/>
  <c r="J29" i="33"/>
  <c r="E30" i="33"/>
  <c r="E31" i="33"/>
  <c r="E32" i="33"/>
  <c r="E33" i="33"/>
  <c r="J33" i="33"/>
  <c r="E34" i="33"/>
  <c r="J34" i="33"/>
  <c r="E35" i="33"/>
  <c r="E36" i="33"/>
  <c r="J36" i="33"/>
  <c r="E37" i="33"/>
  <c r="J37" i="33"/>
  <c r="E38" i="33"/>
  <c r="E39" i="33"/>
  <c r="J39" i="33"/>
  <c r="E40" i="33"/>
  <c r="J40" i="33"/>
  <c r="E41" i="33"/>
  <c r="E42" i="33"/>
  <c r="E43" i="33"/>
  <c r="J43" i="33"/>
  <c r="E44" i="33"/>
  <c r="E45" i="33"/>
  <c r="E46" i="33"/>
  <c r="E60" i="33"/>
  <c r="K46" i="33"/>
  <c r="E47" i="33"/>
  <c r="E48" i="33"/>
  <c r="J48" i="33"/>
  <c r="E49" i="33"/>
  <c r="E50" i="33"/>
  <c r="E51" i="33"/>
  <c r="E52" i="33"/>
  <c r="E53" i="33"/>
  <c r="E54" i="33"/>
  <c r="E55" i="33"/>
  <c r="E56" i="33"/>
  <c r="E57" i="33"/>
  <c r="E58" i="33"/>
  <c r="E59" i="33"/>
  <c r="C3" i="34"/>
  <c r="C4" i="34"/>
  <c r="C5" i="34"/>
  <c r="D25" i="34"/>
  <c r="D60" i="34"/>
  <c r="J46" i="34"/>
  <c r="E18" i="34"/>
  <c r="E19" i="34"/>
  <c r="J19" i="34"/>
  <c r="E20" i="34"/>
  <c r="J20" i="34"/>
  <c r="E21" i="34"/>
  <c r="E22" i="34"/>
  <c r="J22" i="34"/>
  <c r="E23" i="34"/>
  <c r="J23" i="34"/>
  <c r="E24" i="34"/>
  <c r="E25" i="34"/>
  <c r="J25" i="34"/>
  <c r="D26" i="34"/>
  <c r="J26" i="34"/>
  <c r="J28" i="34"/>
  <c r="J29" i="34"/>
  <c r="E30" i="34"/>
  <c r="E31" i="34"/>
  <c r="E32" i="34"/>
  <c r="E33" i="34"/>
  <c r="J33" i="34"/>
  <c r="E34" i="34"/>
  <c r="J34" i="34"/>
  <c r="E35" i="34"/>
  <c r="E36" i="34"/>
  <c r="J36" i="34"/>
  <c r="E37" i="34"/>
  <c r="J37" i="34"/>
  <c r="E38" i="34"/>
  <c r="E39" i="34"/>
  <c r="J39" i="34"/>
  <c r="E40" i="34"/>
  <c r="J40" i="34"/>
  <c r="E41" i="34"/>
  <c r="E42" i="34"/>
  <c r="E43" i="34"/>
  <c r="J43" i="34"/>
  <c r="E44" i="34"/>
  <c r="E45" i="34"/>
  <c r="E46" i="34"/>
  <c r="E60" i="34"/>
  <c r="K46" i="34"/>
  <c r="E47" i="34"/>
  <c r="E48" i="34"/>
  <c r="J48" i="34"/>
  <c r="E49" i="34"/>
  <c r="E50" i="34"/>
  <c r="E51" i="34"/>
  <c r="E52" i="34"/>
  <c r="E53" i="34"/>
  <c r="E54" i="34"/>
  <c r="E55" i="34"/>
  <c r="E56" i="34"/>
  <c r="E57" i="34"/>
  <c r="E58" i="34"/>
  <c r="E59" i="34"/>
  <c r="C3" i="35"/>
  <c r="C4" i="35"/>
  <c r="C5" i="35"/>
  <c r="D25" i="35"/>
  <c r="D60" i="35"/>
  <c r="J46" i="35"/>
  <c r="E18" i="35"/>
  <c r="E19" i="35"/>
  <c r="J19" i="35"/>
  <c r="E20" i="35"/>
  <c r="J20" i="35"/>
  <c r="E21" i="35"/>
  <c r="E22" i="35"/>
  <c r="J22" i="35"/>
  <c r="E23" i="35"/>
  <c r="J23" i="35"/>
  <c r="E24" i="35"/>
  <c r="E25" i="35"/>
  <c r="J25" i="35"/>
  <c r="D26" i="35"/>
  <c r="J26" i="35"/>
  <c r="J28" i="35"/>
  <c r="J29" i="35"/>
  <c r="E30" i="35"/>
  <c r="E31" i="35"/>
  <c r="E32" i="35"/>
  <c r="E33" i="35"/>
  <c r="J33" i="35"/>
  <c r="E34" i="35"/>
  <c r="J34" i="35"/>
  <c r="E35" i="35"/>
  <c r="E36" i="35"/>
  <c r="J36" i="35"/>
  <c r="E37" i="35"/>
  <c r="J37" i="35"/>
  <c r="E38" i="35"/>
  <c r="E39" i="35"/>
  <c r="J39" i="35"/>
  <c r="E40" i="35"/>
  <c r="J40" i="35"/>
  <c r="E41" i="35"/>
  <c r="E42" i="35"/>
  <c r="E43" i="35"/>
  <c r="J43" i="35"/>
  <c r="E44" i="35"/>
  <c r="E45" i="35"/>
  <c r="E46" i="35"/>
  <c r="E60" i="35"/>
  <c r="K46" i="35"/>
  <c r="E47" i="35"/>
  <c r="E48" i="35"/>
  <c r="J48" i="35"/>
  <c r="E49" i="35"/>
  <c r="E50" i="35"/>
  <c r="E51" i="35"/>
  <c r="E52" i="35"/>
  <c r="E53" i="35"/>
  <c r="E54" i="35"/>
  <c r="E55" i="35"/>
  <c r="E56" i="35"/>
  <c r="E57" i="35"/>
  <c r="E58" i="35"/>
  <c r="E59" i="35"/>
  <c r="C3" i="36"/>
  <c r="C4" i="36"/>
  <c r="C5" i="36"/>
  <c r="D25" i="36"/>
  <c r="D60" i="36"/>
  <c r="J46" i="36"/>
  <c r="E18" i="36"/>
  <c r="E19" i="36"/>
  <c r="J19" i="36"/>
  <c r="E20" i="36"/>
  <c r="J20" i="36"/>
  <c r="E21" i="36"/>
  <c r="E22" i="36"/>
  <c r="J22" i="36"/>
  <c r="E23" i="36"/>
  <c r="J23" i="36"/>
  <c r="E24" i="36"/>
  <c r="E25" i="36"/>
  <c r="J25" i="36"/>
  <c r="D26" i="36"/>
  <c r="J26" i="36"/>
  <c r="J28" i="36"/>
  <c r="J29" i="36"/>
  <c r="E30" i="36"/>
  <c r="E31" i="36"/>
  <c r="E32" i="36"/>
  <c r="E33" i="36"/>
  <c r="J33" i="36"/>
  <c r="E34" i="36"/>
  <c r="J34" i="36"/>
  <c r="E35" i="36"/>
  <c r="E36" i="36"/>
  <c r="J36" i="36"/>
  <c r="E37" i="36"/>
  <c r="J37" i="36"/>
  <c r="E38" i="36"/>
  <c r="E39" i="36"/>
  <c r="J39" i="36"/>
  <c r="E40" i="36"/>
  <c r="J40" i="36"/>
  <c r="E41" i="36"/>
  <c r="E42" i="36"/>
  <c r="E43" i="36"/>
  <c r="J43" i="36"/>
  <c r="E44" i="36"/>
  <c r="E45" i="36"/>
  <c r="E46" i="36"/>
  <c r="E60" i="36"/>
  <c r="K46" i="36"/>
  <c r="E47" i="36"/>
  <c r="E48" i="36"/>
  <c r="J48" i="36"/>
  <c r="E49" i="36"/>
  <c r="E50" i="36"/>
  <c r="E51" i="36"/>
  <c r="E52" i="36"/>
  <c r="E53" i="36"/>
  <c r="E54" i="36"/>
  <c r="E55" i="36"/>
  <c r="E56" i="36"/>
  <c r="E57" i="36"/>
  <c r="E58" i="36"/>
  <c r="E59" i="36"/>
  <c r="C3" i="37"/>
  <c r="C4" i="37"/>
  <c r="C5" i="37"/>
  <c r="D25" i="37"/>
  <c r="D60" i="37"/>
  <c r="J46" i="37"/>
  <c r="E18" i="37"/>
  <c r="E19" i="37"/>
  <c r="J19" i="37"/>
  <c r="E20" i="37"/>
  <c r="J20" i="37"/>
  <c r="E21" i="37"/>
  <c r="E22" i="37"/>
  <c r="J22" i="37"/>
  <c r="E23" i="37"/>
  <c r="J23" i="37"/>
  <c r="E24" i="37"/>
  <c r="E25" i="37"/>
  <c r="J25" i="37"/>
  <c r="D26" i="37"/>
  <c r="J26" i="37"/>
  <c r="J28" i="37"/>
  <c r="J29" i="37"/>
  <c r="E30" i="37"/>
  <c r="E31" i="37"/>
  <c r="E32" i="37"/>
  <c r="E33" i="37"/>
  <c r="J33" i="37"/>
  <c r="E34" i="37"/>
  <c r="J34" i="37"/>
  <c r="E35" i="37"/>
  <c r="E36" i="37"/>
  <c r="J36" i="37"/>
  <c r="E37" i="37"/>
  <c r="J37" i="37"/>
  <c r="E38" i="37"/>
  <c r="E39" i="37"/>
  <c r="J39" i="37"/>
  <c r="E40" i="37"/>
  <c r="J40" i="37"/>
  <c r="E41" i="37"/>
  <c r="E42" i="37"/>
  <c r="E43" i="37"/>
  <c r="J43" i="37"/>
  <c r="E44" i="37"/>
  <c r="E45" i="37"/>
  <c r="E46" i="37"/>
  <c r="E60" i="37"/>
  <c r="K46" i="37"/>
  <c r="E47" i="37"/>
  <c r="E48" i="37"/>
  <c r="J48" i="37"/>
  <c r="E49" i="37"/>
  <c r="E50" i="37"/>
  <c r="E51" i="37"/>
  <c r="E52" i="37"/>
  <c r="E53" i="37"/>
  <c r="E54" i="37"/>
  <c r="E55" i="37"/>
  <c r="E56" i="37"/>
  <c r="E57" i="37"/>
  <c r="E58" i="37"/>
  <c r="E59" i="37"/>
  <c r="C3" i="14"/>
  <c r="D10" i="14"/>
  <c r="E10" i="14"/>
  <c r="F10" i="14"/>
  <c r="G10" i="14"/>
  <c r="H10" i="14"/>
  <c r="I10" i="14"/>
  <c r="J10" i="14"/>
  <c r="K10" i="14"/>
  <c r="L10" i="14"/>
  <c r="M10" i="14"/>
  <c r="N10" i="14"/>
  <c r="O10" i="14"/>
  <c r="P10" i="14"/>
  <c r="D11" i="14"/>
  <c r="E11" i="14"/>
  <c r="F11" i="14"/>
  <c r="G11" i="14"/>
  <c r="H11" i="14"/>
  <c r="I11" i="14"/>
  <c r="J11" i="14"/>
  <c r="K11" i="14"/>
  <c r="L11" i="14"/>
  <c r="M11" i="14"/>
  <c r="N11" i="14"/>
  <c r="O11" i="14"/>
  <c r="P11" i="14"/>
  <c r="D12" i="14"/>
  <c r="E12" i="14"/>
  <c r="F12" i="14"/>
  <c r="G12" i="14"/>
  <c r="H12" i="14"/>
  <c r="I12" i="14"/>
  <c r="J12" i="14"/>
  <c r="K12" i="14"/>
  <c r="L12" i="14"/>
  <c r="M12" i="14"/>
  <c r="N12" i="14"/>
  <c r="O12" i="14"/>
  <c r="P12" i="14"/>
  <c r="P13" i="14"/>
  <c r="P16" i="14"/>
  <c r="P17" i="14"/>
  <c r="P18" i="14"/>
  <c r="P19" i="14"/>
  <c r="P20" i="14"/>
  <c r="P21" i="14"/>
  <c r="P22" i="14"/>
  <c r="P23" i="14"/>
  <c r="P26" i="14"/>
  <c r="C3" i="22"/>
  <c r="J7" i="22"/>
  <c r="J9" i="22"/>
  <c r="D7"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11" i="22"/>
  <c r="D12" i="22"/>
  <c r="D13" i="22"/>
  <c r="D14" i="22"/>
  <c r="D15" i="22"/>
  <c r="D16" i="22"/>
  <c r="D17" i="22"/>
  <c r="D18" i="22"/>
  <c r="J54" i="22"/>
  <c r="J8" i="22"/>
  <c r="E11" i="22"/>
  <c r="F11" i="22"/>
  <c r="E12" i="22"/>
  <c r="F12" i="22"/>
  <c r="E13" i="22"/>
  <c r="F13" i="22"/>
  <c r="J13" i="22"/>
  <c r="E14" i="22"/>
  <c r="F14" i="22"/>
  <c r="J14" i="22"/>
  <c r="E15" i="22"/>
  <c r="F15" i="22"/>
  <c r="J15" i="22"/>
  <c r="K15" i="22"/>
  <c r="L15" i="22"/>
  <c r="E16" i="22"/>
  <c r="F16" i="22"/>
  <c r="J16" i="22"/>
  <c r="E17" i="22"/>
  <c r="F17" i="22"/>
  <c r="J17" i="22"/>
  <c r="E18" i="22"/>
  <c r="F18" i="22"/>
  <c r="J18" i="22"/>
  <c r="K18" i="22"/>
  <c r="L18" i="22"/>
  <c r="J19" i="22"/>
  <c r="J20" i="22"/>
  <c r="J21" i="22"/>
  <c r="K21" i="22"/>
  <c r="L21" i="22"/>
  <c r="E22" i="22"/>
  <c r="F22" i="22"/>
  <c r="J22" i="22"/>
  <c r="E23" i="22"/>
  <c r="F23" i="22"/>
  <c r="J23" i="22"/>
  <c r="E24" i="22"/>
  <c r="F24" i="22"/>
  <c r="J24" i="22"/>
  <c r="K24" i="22"/>
  <c r="L24" i="22"/>
  <c r="E25" i="22"/>
  <c r="F25" i="22"/>
  <c r="J25" i="22"/>
  <c r="K25" i="22"/>
  <c r="E26" i="22"/>
  <c r="F26" i="22"/>
  <c r="E27" i="22"/>
  <c r="F27" i="22"/>
  <c r="J27" i="22"/>
  <c r="E28" i="22"/>
  <c r="F28" i="22"/>
  <c r="J28" i="22"/>
  <c r="E29" i="22"/>
  <c r="F29" i="22"/>
  <c r="J29" i="22"/>
  <c r="K29" i="22"/>
  <c r="L29" i="22"/>
  <c r="E30" i="22"/>
  <c r="F30" i="22"/>
  <c r="J30" i="22"/>
  <c r="E31" i="22"/>
  <c r="F31" i="22"/>
  <c r="J31" i="22"/>
  <c r="E32" i="22"/>
  <c r="F32" i="22"/>
  <c r="J32" i="22"/>
  <c r="K32" i="22"/>
  <c r="L32" i="22"/>
  <c r="E33" i="22"/>
  <c r="F33" i="22"/>
  <c r="J33" i="22"/>
  <c r="E34" i="22"/>
  <c r="F34" i="22"/>
  <c r="J34" i="22"/>
  <c r="E35" i="22"/>
  <c r="F35" i="22"/>
  <c r="J35" i="22"/>
  <c r="K35" i="22"/>
  <c r="L35" i="22"/>
  <c r="E36" i="22"/>
  <c r="F36" i="22"/>
  <c r="J36" i="22"/>
  <c r="K36" i="22"/>
  <c r="E37" i="22"/>
  <c r="F37" i="22"/>
  <c r="J37" i="22"/>
  <c r="K37" i="22"/>
  <c r="L37" i="22"/>
  <c r="E38" i="22"/>
  <c r="F38" i="22"/>
  <c r="E39" i="22"/>
  <c r="F39" i="22"/>
  <c r="E40" i="22"/>
  <c r="F40" i="22"/>
  <c r="E41" i="22"/>
  <c r="F41" i="22"/>
  <c r="E42" i="22"/>
  <c r="F42" i="22"/>
  <c r="J42" i="22"/>
  <c r="E43" i="22"/>
  <c r="F43" i="22"/>
  <c r="J43" i="22"/>
  <c r="E44" i="22"/>
  <c r="F44" i="22"/>
  <c r="J44" i="22"/>
  <c r="E45" i="22"/>
  <c r="F45" i="22"/>
  <c r="J45" i="22"/>
  <c r="E46" i="22"/>
  <c r="F46" i="22"/>
  <c r="J46" i="22"/>
  <c r="E47" i="22"/>
  <c r="F47" i="22"/>
  <c r="J47" i="22"/>
  <c r="E48" i="22"/>
  <c r="F48" i="22"/>
  <c r="J48" i="22"/>
  <c r="E49" i="22"/>
  <c r="F49" i="22"/>
  <c r="J49" i="22"/>
  <c r="E50" i="22"/>
  <c r="F50" i="22"/>
  <c r="J50" i="22"/>
  <c r="E51" i="22"/>
  <c r="F51" i="22"/>
  <c r="E52" i="22"/>
  <c r="F52" i="22"/>
  <c r="K54" i="22"/>
  <c r="L54" i="22"/>
  <c r="J56" i="22"/>
</calcChain>
</file>

<file path=xl/comments1.xml><?xml version="1.0" encoding="utf-8"?>
<comments xmlns="http://schemas.openxmlformats.org/spreadsheetml/2006/main">
  <authors>
    <author>User</author>
    <author>Marianne Luft</author>
  </authors>
  <commentList>
    <comment ref="E16" authorId="0">
      <text>
        <r>
          <rPr>
            <b/>
            <sz val="8"/>
            <color indexed="81"/>
            <rFont val="Tahoma"/>
            <family val="2"/>
          </rPr>
          <t>HA's sex/species breakdown for 2009 was 49.8% dogs, 50.2% cats and 56.6% females, 43.4% males.</t>
        </r>
        <r>
          <rPr>
            <sz val="8"/>
            <color indexed="81"/>
            <rFont val="Tahoma"/>
            <family val="2"/>
          </rPr>
          <t xml:space="preserve">
</t>
        </r>
      </text>
    </comment>
    <comment ref="E30" authorId="1">
      <text>
        <r>
          <rPr>
            <sz val="9"/>
            <color indexed="81"/>
            <rFont val="Century Gothic"/>
            <family val="2"/>
          </rPr>
          <t xml:space="preserve">Needs to equal 100%
</t>
        </r>
      </text>
    </comment>
    <comment ref="A33" authorId="0">
      <text>
        <r>
          <rPr>
            <b/>
            <sz val="8"/>
            <color indexed="81"/>
            <rFont val="Tahoma"/>
            <family val="2"/>
          </rPr>
          <t>HA's 2009 rabies vaccination rate was 70% of all patients.</t>
        </r>
        <r>
          <rPr>
            <sz val="8"/>
            <color indexed="81"/>
            <rFont val="Tahoma"/>
            <family val="2"/>
          </rPr>
          <t xml:space="preserve">
</t>
        </r>
      </text>
    </comment>
  </commentList>
</comments>
</file>

<file path=xl/comments10.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1.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2.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3.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4.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5.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6.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7.xml><?xml version="1.0" encoding="utf-8"?>
<comments xmlns="http://schemas.openxmlformats.org/spreadsheetml/2006/main">
  <authors>
    <author>Marianne Luft</author>
  </authors>
  <commentList>
    <comment ref="H12" authorId="0">
      <text>
        <r>
          <rPr>
            <sz val="9"/>
            <color indexed="81"/>
            <rFont val="Verdana"/>
            <family val="2"/>
          </rPr>
          <t xml:space="preserve">Please note that surgical payroll is included under cost of services and office payroll is included under operating expenses.
</t>
        </r>
      </text>
    </comment>
  </commentList>
</comments>
</file>

<file path=xl/comments2.xml><?xml version="1.0" encoding="utf-8"?>
<comments xmlns="http://schemas.openxmlformats.org/spreadsheetml/2006/main">
  <authors>
    <author>User</author>
    <author>Marianne Luft</author>
    <author>Sarah Hess</author>
  </authors>
  <commentList>
    <comment ref="I11" authorId="0">
      <text>
        <r>
          <rPr>
            <sz val="9"/>
            <color indexed="81"/>
            <rFont val="Century Gothic"/>
            <family val="2"/>
          </rPr>
          <t>HA average cost per animal is $15.00 to show the high end.  Your average may be lower depending on you drug protocols and buying habits.</t>
        </r>
      </text>
    </comment>
    <comment ref="H18" authorId="1">
      <text>
        <r>
          <rPr>
            <sz val="9"/>
            <color indexed="81"/>
            <rFont val="Century Gothic"/>
            <family val="2"/>
          </rPr>
          <t xml:space="preserve">Please note that surgical payroll is included under cost of services and office payroll is included under operating expenses.
</t>
        </r>
      </text>
    </comment>
    <comment ref="B20" authorId="0">
      <text>
        <r>
          <rPr>
            <sz val="9"/>
            <color indexed="81"/>
            <rFont val="Century Gothic"/>
            <family val="2"/>
          </rPr>
          <t xml:space="preserve">This category is amount paid to private vets for surgically-related complications.  This is not for costs of relief vets </t>
        </r>
      </text>
    </comment>
    <comment ref="B22" authorId="0">
      <text>
        <r>
          <rPr>
            <sz val="9"/>
            <color indexed="81"/>
            <rFont val="Century Gothic"/>
            <family val="2"/>
          </rPr>
          <t>HA does not recommend that clinics provide staff incentives prior to the completion of your first year of operation.</t>
        </r>
      </text>
    </comment>
    <comment ref="B23" authorId="1">
      <text>
        <r>
          <rPr>
            <sz val="9"/>
            <color indexed="81"/>
            <rFont val="Century Gothic"/>
            <family val="2"/>
          </rPr>
          <t>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1">
      <text>
        <r>
          <rPr>
            <sz val="9"/>
            <color indexed="81"/>
            <rFont val="Century Gothic"/>
            <family val="2"/>
          </rPr>
          <t>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48" authorId="2">
      <text>
        <r>
          <rPr>
            <b/>
            <sz val="9"/>
            <color indexed="81"/>
            <rFont val="Verdana"/>
            <family val="2"/>
          </rPr>
          <t>Sarah Hess:</t>
        </r>
        <r>
          <rPr>
            <sz val="9"/>
            <color indexed="81"/>
            <rFont val="Verdana"/>
            <family val="2"/>
          </rPr>
          <t xml:space="preserve">
Workers Comp Insurance is expensive in our line of business.  Get quote or estimate $8,000 - $10,000
</t>
        </r>
      </text>
    </comment>
    <comment ref="B49" authorId="2">
      <text>
        <r>
          <rPr>
            <sz val="9"/>
            <color indexed="81"/>
            <rFont val="Verdana"/>
            <family val="2"/>
          </rPr>
          <t xml:space="preserve">Accounting, Payroll, 990 Preparations
</t>
        </r>
      </text>
    </comment>
  </commentList>
</comments>
</file>

<file path=xl/comments3.xml><?xml version="1.0" encoding="utf-8"?>
<comments xmlns="http://schemas.openxmlformats.org/spreadsheetml/2006/main">
  <authors>
    <author>Marianne Luft</author>
  </authors>
  <commentList>
    <comment ref="B2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4.xml><?xml version="1.0" encoding="utf-8"?>
<comments xmlns="http://schemas.openxmlformats.org/spreadsheetml/2006/main">
  <authors>
    <author>Marianne Luft</author>
  </authors>
  <commentList>
    <comment ref="D7" authorId="0">
      <text>
        <r>
          <rPr>
            <sz val="9"/>
            <color indexed="81"/>
            <rFont val="Century Gothic"/>
            <family val="2"/>
          </rPr>
          <t>This is amount required by HA to cover operating losses for first months open.</t>
        </r>
      </text>
    </comment>
    <comment ref="B8" authorId="0">
      <text>
        <r>
          <rPr>
            <sz val="9"/>
            <color indexed="81"/>
            <rFont val="Century Gothic"/>
            <family val="2"/>
          </rPr>
          <t xml:space="preserve">Include all sources of revenue here, such as events, donors, equipment grants, other grants, etc.
</t>
        </r>
      </text>
    </comment>
    <comment ref="D20" authorId="0">
      <text>
        <r>
          <rPr>
            <sz val="9"/>
            <color indexed="81"/>
            <rFont val="Century Gothic"/>
            <family val="2"/>
          </rPr>
          <t>This amount will be automatically filled in after you enter your data in the month-to-month spreadsheets.</t>
        </r>
      </text>
    </comment>
  </commentList>
</comments>
</file>

<file path=xl/comments5.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6.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7.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8.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9.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sharedStrings.xml><?xml version="1.0" encoding="utf-8"?>
<sst xmlns="http://schemas.openxmlformats.org/spreadsheetml/2006/main" count="1369" uniqueCount="236">
  <si>
    <t>Insurance-Workers Comp</t>
  </si>
  <si>
    <t>Micellaneous Expense</t>
  </si>
  <si>
    <t xml:space="preserve"># Other </t>
  </si>
  <si>
    <t>**Do not include subsidy grants.  Subsidies are not extra income, just a different source of income</t>
  </si>
  <si>
    <t>Miscellaenous Expense</t>
  </si>
  <si>
    <t>Insurance - Workers Comp</t>
  </si>
  <si>
    <t>Other Taxes &amp; Licenses</t>
  </si>
  <si>
    <t>Utilties Expenses</t>
  </si>
  <si>
    <t xml:space="preserve"> </t>
  </si>
  <si>
    <t>Female Dogs - Volume Partner</t>
  </si>
  <si>
    <t>Male Dogs - Volume Partner</t>
  </si>
  <si>
    <t>Female Cats - Volume Partner</t>
  </si>
  <si>
    <t>Male Cats - Volume Partner</t>
  </si>
  <si>
    <t>Printing Expense (inc. admit forms)</t>
  </si>
  <si>
    <t>Month 3</t>
  </si>
  <si>
    <t>Month 4</t>
  </si>
  <si>
    <t>Expenses</t>
  </si>
  <si>
    <t>Month 5</t>
  </si>
  <si>
    <t>Clinic Info</t>
    <phoneticPr fontId="3"/>
  </si>
  <si>
    <t>TOTAL REVENUE</t>
    <phoneticPr fontId="3"/>
  </si>
  <si>
    <t>AVERAGE SERVICE FEE</t>
    <phoneticPr fontId="3"/>
  </si>
  <si>
    <t>Surgery (type)</t>
    <phoneticPr fontId="3"/>
  </si>
  <si>
    <t>Grant Income</t>
  </si>
  <si>
    <t>All other income</t>
  </si>
  <si>
    <t>Income - clinic fees</t>
  </si>
  <si>
    <t>Telephone Expense</t>
  </si>
  <si>
    <t>Dues and Subscriptions</t>
  </si>
  <si>
    <t>Revenue</t>
  </si>
  <si>
    <t>Notes</t>
  </si>
  <si>
    <t>Income - Clinic Fees</t>
  </si>
  <si>
    <t>Surgeries per day</t>
  </si>
  <si>
    <t>Days per week</t>
  </si>
  <si>
    <t>Total Income</t>
  </si>
  <si>
    <t>Health Insurance (admin staff)</t>
  </si>
  <si>
    <t>Other Admin</t>
  </si>
  <si>
    <t>Other Admin salary</t>
  </si>
  <si>
    <t>Total admin labor</t>
  </si>
  <si>
    <t>NSNRT Service Fee Breakdown</t>
    <phoneticPr fontId="2" type="noConversion"/>
  </si>
  <si>
    <t>Insurance - Miscellaneous</t>
  </si>
  <si>
    <t>Mortgage and Interest Expense</t>
  </si>
  <si>
    <t>Repairs to Building</t>
  </si>
  <si>
    <t>Month 7</t>
  </si>
  <si>
    <t>Month 8</t>
  </si>
  <si>
    <t>Supplies/animal</t>
  </si>
  <si>
    <t>Outside Vet Services</t>
  </si>
  <si>
    <t>Total Cost of Services</t>
  </si>
  <si>
    <t>Operating Expenses</t>
  </si>
  <si>
    <t>Repairs to Trucks/Autos</t>
  </si>
  <si>
    <t>Estimated # sx/year</t>
  </si>
  <si>
    <t>Average cost/sx</t>
  </si>
  <si>
    <t>Total Revenue</t>
    <phoneticPr fontId="2" type="noConversion"/>
  </si>
  <si>
    <t>Average service fee</t>
  </si>
  <si>
    <t>Total Cost of Services</t>
    <phoneticPr fontId="2" type="noConversion"/>
  </si>
  <si>
    <t>Fundraising</t>
  </si>
  <si>
    <t>Weeks per year</t>
  </si>
  <si>
    <t>Surgeries per year</t>
  </si>
  <si>
    <t>Surgical Payroll</t>
  </si>
  <si>
    <t>NSNRT Yearly Summary</t>
    <phoneticPr fontId="2" type="noConversion"/>
  </si>
  <si>
    <t>Total Office Manager Cost</t>
  </si>
  <si>
    <t>Total Revenue</t>
  </si>
  <si>
    <t>Other salary</t>
  </si>
  <si>
    <t>Gross Profit (Loss)</t>
  </si>
  <si>
    <t>Operating loss (for first months open)</t>
  </si>
  <si>
    <t>Female dogs</t>
  </si>
  <si>
    <t>For your organization, your net income (loss) minus your additional 5% will be:</t>
  </si>
  <si>
    <t>Other Cost of Services expenses</t>
    <phoneticPr fontId="3" type="noConversion"/>
  </si>
  <si>
    <t>Building Lease and/or Mortgage</t>
  </si>
  <si>
    <t>Rental of Equipment</t>
  </si>
  <si>
    <t>Month 2</t>
  </si>
  <si>
    <t>Number of weeks open/year</t>
  </si>
  <si>
    <t>Pre-opening lease payments</t>
  </si>
  <si>
    <t>Renovation costs</t>
  </si>
  <si>
    <t>NSNRT Budget Worksheet - Month 9</t>
    <phoneticPr fontId="2" type="noConversion"/>
  </si>
  <si>
    <t>Pre-opening employee expenses</t>
  </si>
  <si>
    <t>Pre-opening marketing expenses</t>
  </si>
  <si>
    <t>Ave. number of weeks/mo.</t>
  </si>
  <si>
    <t>Surgical Payroll</t>
    <phoneticPr fontId="2" type="noConversion"/>
  </si>
  <si>
    <t>Total Surgical Payroll</t>
    <phoneticPr fontId="2" type="noConversion"/>
  </si>
  <si>
    <t>Office Payroll</t>
    <phoneticPr fontId="2" type="noConversion"/>
  </si>
  <si>
    <t>Total Office Payroll</t>
    <phoneticPr fontId="2" type="noConversion"/>
  </si>
  <si>
    <t>Total Payroll</t>
    <phoneticPr fontId="2" type="noConversion"/>
  </si>
  <si>
    <t>Office Supplies</t>
  </si>
  <si>
    <t>Cash on Hand-Operating Reserves for Day 1</t>
  </si>
  <si>
    <t>Budget for:</t>
  </si>
  <si>
    <t>Admin Payroll, Taxes, Benefits</t>
  </si>
  <si>
    <t>Other Operating expenses</t>
    <phoneticPr fontId="3" type="noConversion"/>
  </si>
  <si>
    <t>NSNRT Budget Worksheet - Month 10</t>
    <phoneticPr fontId="2" type="noConversion"/>
  </si>
  <si>
    <t>NSNRT Budget Worksheet - Month 11</t>
    <phoneticPr fontId="2" type="noConversion"/>
  </si>
  <si>
    <t>NSNRT Budget Worksheet - Month 12</t>
    <phoneticPr fontId="2" type="noConversion"/>
  </si>
  <si>
    <t>Total Surgical Payroll</t>
  </si>
  <si>
    <t>Postage Expense</t>
  </si>
  <si>
    <t>Month 9</t>
  </si>
  <si>
    <t>Total medical labor</t>
  </si>
  <si>
    <t>Medical labor/animal</t>
  </si>
  <si>
    <t>Total Revenue</t>
    <phoneticPr fontId="3" type="noConversion"/>
  </si>
  <si>
    <t>Month 11</t>
  </si>
  <si>
    <t>Month 12</t>
  </si>
  <si>
    <t>Director of Clinic Operations</t>
  </si>
  <si>
    <t>DCO salary</t>
  </si>
  <si>
    <t>Total DCO Cost</t>
  </si>
  <si>
    <t>Utilities Expense</t>
  </si>
  <si>
    <t>Miscellaneous Expense</t>
  </si>
  <si>
    <t>Total Operating Expenses</t>
  </si>
  <si>
    <t>Open house expenses</t>
  </si>
  <si>
    <t>Staff training - Asheville, NC</t>
  </si>
  <si>
    <t>Taxes (15%)</t>
  </si>
  <si>
    <t xml:space="preserve">Average service fee/patient </t>
  </si>
  <si>
    <t># Technicians</t>
  </si>
  <si>
    <t>Fundraising Expenses</t>
  </si>
  <si>
    <t>Recruitment of Staff</t>
  </si>
  <si>
    <t>Web Hosting</t>
  </si>
  <si>
    <t>Clinic Software</t>
  </si>
  <si>
    <t>Admin labor/animal</t>
  </si>
  <si>
    <t>Tech salary</t>
  </si>
  <si>
    <t>Total Tech Cost</t>
  </si>
  <si>
    <t>Cost of Services</t>
  </si>
  <si>
    <t>Cost of Goods - Transport Gas</t>
  </si>
  <si>
    <t>TOTAL EXPENSES</t>
  </si>
  <si>
    <t>SUMMARY</t>
  </si>
  <si>
    <t>Number of animals served</t>
  </si>
  <si>
    <t>Income/animal</t>
  </si>
  <si>
    <t>Total supplies</t>
  </si>
  <si>
    <t>Projected/
Requested</t>
    <phoneticPr fontId="3" type="noConversion"/>
  </si>
  <si>
    <t>Total</t>
    <phoneticPr fontId="3" type="noConversion"/>
  </si>
  <si>
    <t>Total Expenses</t>
    <phoneticPr fontId="3" type="noConversion"/>
  </si>
  <si>
    <t>Surgeries per month</t>
  </si>
  <si>
    <t>Operating Budget - Monthly Summary</t>
  </si>
  <si>
    <t>Medical Supplies</t>
  </si>
  <si>
    <t>Net Income (Loss)</t>
  </si>
  <si>
    <t xml:space="preserve">Cells shaded in green have formulas.  DO NOT EDIT CELLS SHADED IN GREEN.  ONLY EDIT CELLS SHADED IN WHITE.  </t>
  </si>
  <si>
    <t>NSNRT Budget Worksheet (Summary)</t>
  </si>
  <si>
    <t>Clinic Information</t>
  </si>
  <si>
    <t>Income - Misc.</t>
  </si>
  <si>
    <t># Veterinarians</t>
  </si>
  <si>
    <t>Vet salary</t>
  </si>
  <si>
    <t>Total Vet Cost</t>
  </si>
  <si>
    <t># Assistants</t>
  </si>
  <si>
    <t>Asst. salary</t>
  </si>
  <si>
    <t>Total Asst. Cost</t>
  </si>
  <si>
    <t>NSNRT Budget Worksheet - Month 3</t>
    <phoneticPr fontId="2" type="noConversion"/>
  </si>
  <si>
    <t>NSNRT Budget Worksheet - Month 4</t>
    <phoneticPr fontId="2" type="noConversion"/>
  </si>
  <si>
    <t>NSNRT Budget Worksheet - Month 5</t>
    <phoneticPr fontId="2" type="noConversion"/>
  </si>
  <si>
    <t>NSNRT Budget Worksheet - Month 6</t>
    <phoneticPr fontId="2" type="noConversion"/>
  </si>
  <si>
    <t>Male dogs</t>
  </si>
  <si>
    <t>Female cats</t>
  </si>
  <si>
    <t>Male cats</t>
  </si>
  <si>
    <t>Feral cats</t>
  </si>
  <si>
    <t>Rabies vaccination</t>
  </si>
  <si>
    <t>Office Payroll</t>
  </si>
  <si>
    <t>Total Office Payroll</t>
  </si>
  <si>
    <t>Utilities, Phone, Insurance</t>
  </si>
  <si>
    <t>Total Expense</t>
  </si>
  <si>
    <t>Health Insurance (med staff)</t>
  </si>
  <si>
    <t>Month 1</t>
  </si>
  <si>
    <t>Legal and Professional Fees</t>
  </si>
  <si>
    <t>Staff Incentives</t>
  </si>
  <si>
    <t>Organization Name:</t>
  </si>
  <si>
    <t>Completed by:</t>
  </si>
  <si>
    <t>Date completed:</t>
  </si>
  <si>
    <t>Travel Expenses</t>
  </si>
  <si>
    <t>Bank Charges</t>
  </si>
  <si>
    <t>Waste Management</t>
  </si>
  <si>
    <t>Estimated %
(per year)</t>
    <phoneticPr fontId="3"/>
  </si>
  <si>
    <t>Amount 
(per year)</t>
    <phoneticPr fontId="3"/>
  </si>
  <si>
    <t>Price 
(per surgery)</t>
    <phoneticPr fontId="3"/>
  </si>
  <si>
    <t>Price
(per year)</t>
    <phoneticPr fontId="3"/>
  </si>
  <si>
    <t>Service (type)</t>
    <phoneticPr fontId="3"/>
  </si>
  <si>
    <t>Estimated %
(per year)</t>
    <phoneticPr fontId="3"/>
  </si>
  <si>
    <t xml:space="preserve">Price
(per service) </t>
    <phoneticPr fontId="3"/>
  </si>
  <si>
    <t>Price
(per year)</t>
    <phoneticPr fontId="3"/>
  </si>
  <si>
    <t>NSNRT Budget Worksheet</t>
    <phoneticPr fontId="2" type="noConversion"/>
  </si>
  <si>
    <t>Estimated # of surgeries per day</t>
    <phoneticPr fontId="3"/>
  </si>
  <si>
    <t>Total Other Admin Cost</t>
  </si>
  <si>
    <t>Other Taxes and Licenses</t>
  </si>
  <si>
    <t>NET INCOME (LOSS)</t>
  </si>
  <si>
    <t>Month 6</t>
  </si>
  <si>
    <t>Month 10</t>
  </si>
  <si>
    <t>NSNRT Start-up Costs Worksheet</t>
    <phoneticPr fontId="2" type="noConversion"/>
  </si>
  <si>
    <t>Enter average cost/animal here</t>
  </si>
  <si>
    <t>Health Insurance (med. Staff)</t>
  </si>
  <si>
    <t># Other</t>
  </si>
  <si>
    <t>Total Payroll</t>
  </si>
  <si>
    <t>NSNRT Budget Worksheet</t>
  </si>
  <si>
    <t>Estimated # of surgeries per day</t>
    <phoneticPr fontId="3"/>
  </si>
  <si>
    <t>Total surgeries per year</t>
    <phoneticPr fontId="3"/>
  </si>
  <si>
    <t>Income</t>
  </si>
  <si>
    <t>Received</t>
  </si>
  <si>
    <t>Expense</t>
  </si>
  <si>
    <t>Medical equipment/consumable costs</t>
  </si>
  <si>
    <t>Office Payroll</t>
    <phoneticPr fontId="2" type="noConversion"/>
  </si>
  <si>
    <t>Organization Name:</t>
    <phoneticPr fontId="3"/>
  </si>
  <si>
    <t xml:space="preserve">Total </t>
    <phoneticPr fontId="3"/>
  </si>
  <si>
    <t>Total</t>
    <phoneticPr fontId="3"/>
  </si>
  <si>
    <t>NSNRT Budget Worksheet - Month 1</t>
    <phoneticPr fontId="2" type="noConversion"/>
  </si>
  <si>
    <t>Event costs for fundraisers</t>
  </si>
  <si>
    <t>Non-medical equipment, furnishings</t>
  </si>
  <si>
    <t>For your organization, this amount will be:</t>
  </si>
  <si>
    <t xml:space="preserve">Advertising Expense </t>
  </si>
  <si>
    <t>Cost of Goods - Med Vet Drugs</t>
  </si>
  <si>
    <t>Office Payroll</t>
    <phoneticPr fontId="2" type="noConversion"/>
  </si>
  <si>
    <t>TOTAL</t>
    <phoneticPr fontId="3" type="noConversion"/>
  </si>
  <si>
    <t>Total Income</t>
    <phoneticPr fontId="3" type="noConversion"/>
  </si>
  <si>
    <t>Total Income minus Total Expenses</t>
    <phoneticPr fontId="3" type="noConversion"/>
  </si>
  <si>
    <t>Number of days open/week</t>
  </si>
  <si>
    <t>NSNRT Budget Worksheet - Month 2</t>
    <phoneticPr fontId="2" type="noConversion"/>
  </si>
  <si>
    <t>TOTAL LEFT TO OBTAIN</t>
  </si>
  <si>
    <t>NSNRT Budget Worksheet - Month 8</t>
    <phoneticPr fontId="2" type="noConversion"/>
  </si>
  <si>
    <t>NSNRT Budget Worksheet - Month 7</t>
    <phoneticPr fontId="2" type="noConversion"/>
  </si>
  <si>
    <t>Office Manager</t>
  </si>
  <si>
    <t>Office Manager salary</t>
  </si>
  <si>
    <t>Total Other Cost</t>
  </si>
  <si>
    <t>MUST COMPLETE STEP 2 BEFORE COMPLETING YEARLY SUMMARY</t>
    <phoneticPr fontId="3" type="noConversion"/>
  </si>
  <si>
    <t>Surg. Payroll, Incentives, Taxes, Benefits</t>
  </si>
  <si>
    <t>Sample Clinic</t>
  </si>
  <si>
    <t>Other Vaccines</t>
  </si>
  <si>
    <t>Microchips</t>
  </si>
  <si>
    <t>Private Foundation (Renovation Grant)</t>
  </si>
  <si>
    <t>Big Event Fundraiser - October</t>
  </si>
  <si>
    <t>Big Event Fundraiser - April</t>
  </si>
  <si>
    <t>Capital Appeal Letters - 1</t>
  </si>
  <si>
    <t>Capital Appeal Letters - 2</t>
  </si>
  <si>
    <r>
      <t xml:space="preserve">Cells shaded in </t>
    </r>
    <r>
      <rPr>
        <sz val="10"/>
        <color indexed="17"/>
        <rFont val="Helvetica Neue"/>
      </rPr>
      <t>GREEN</t>
    </r>
    <r>
      <rPr>
        <sz val="10"/>
        <rFont val="Helvetica Neue"/>
      </rPr>
      <t xml:space="preserve"> have formulas.  ONLY EDIT CELLS SHADED IN WHITE.  </t>
    </r>
  </si>
  <si>
    <r>
      <t xml:space="preserve">Grants </t>
    </r>
    <r>
      <rPr>
        <sz val="9"/>
        <rFont val="Helvetica Neue"/>
      </rPr>
      <t>**see below</t>
    </r>
  </si>
  <si>
    <r>
      <t xml:space="preserve">Bank Charges - </t>
    </r>
    <r>
      <rPr>
        <sz val="8"/>
        <rFont val="Helvetica Neue"/>
      </rPr>
      <t>includes c. card fees</t>
    </r>
  </si>
  <si>
    <r>
      <t xml:space="preserve">Insurance - </t>
    </r>
    <r>
      <rPr>
        <sz val="8"/>
        <rFont val="Helvetica Neue"/>
      </rPr>
      <t>BOD, Vehicle, Liability, Property</t>
    </r>
  </si>
  <si>
    <r>
      <t xml:space="preserve">Insurance - </t>
    </r>
    <r>
      <rPr>
        <sz val="8"/>
        <rFont val="Helvetica Neue"/>
      </rPr>
      <t>BOD, vehicle, liability, property</t>
    </r>
  </si>
  <si>
    <r>
      <t xml:space="preserve">Insurance - </t>
    </r>
    <r>
      <rPr>
        <sz val="8"/>
        <rFont val="Helvetica Neue"/>
      </rPr>
      <t>BOD, vehicle,liability, property</t>
    </r>
  </si>
  <si>
    <r>
      <t xml:space="preserve">Insurance - </t>
    </r>
    <r>
      <rPr>
        <sz val="8"/>
        <rFont val="Helvetica Neue"/>
      </rPr>
      <t>BOD, vehicle, liablity, property</t>
    </r>
  </si>
  <si>
    <r>
      <t xml:space="preserve">Insurance - </t>
    </r>
    <r>
      <rPr>
        <sz val="8"/>
        <rFont val="Helvetica Neue"/>
      </rPr>
      <t>BOD, vehicle, property</t>
    </r>
  </si>
  <si>
    <t>Aimee</t>
  </si>
  <si>
    <t>ASPCA Equipment Grant</t>
  </si>
  <si>
    <t>ASPCA Training Grant</t>
  </si>
  <si>
    <t>This spreadsheet is pulling data from your "Step 2" budget</t>
  </si>
  <si>
    <t xml:space="preserve">Cells shaded in green have formulas. DO NOT edit cells shaded in GREEN. Only edit cells shaded in WHITE.  </t>
  </si>
  <si>
    <t>2 part-time positions: transport and kennel</t>
  </si>
  <si>
    <t>Spay/Neuter Alliance encourages organizations to raise an additional 5% of their budget for depreciation and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</si>
</sst>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_);\(0\)"/>
    <numFmt numFmtId="165" formatCode="&quot;$&quot;#,##0.00"/>
    <numFmt numFmtId="166" formatCode="0.0%"/>
    <numFmt numFmtId="167" formatCode="mm/dd/yy"/>
    <numFmt numFmtId="168" formatCode="0_);[Red]\(0\)"/>
    <numFmt numFmtId="169" formatCode="&quot;$&quot;#,##0"/>
    <numFmt numFmtId="170" formatCode="#,##0.0_);[Red]\(#,##0.0\)"/>
    <numFmt numFmtId="171" formatCode="&quot;$&quot;#,##0.00;[Red]&quot;$&quot;#,##0.00"/>
    <numFmt numFmtId="172" formatCode="mmmm\ d\,\ yyyy"/>
    <numFmt numFmtId="173" formatCode="m/d"/>
  </numFmts>
  <fonts count="31" x14ac:knownFonts="1">
    <font>
      <sz val="10"/>
      <name val="Verdana"/>
    </font>
    <font>
      <sz val="10"/>
      <name val="Verdana"/>
    </font>
    <font>
      <sz val="10"/>
      <name val="Arial"/>
      <family val="2"/>
    </font>
    <font>
      <sz val="8"/>
      <name val="Verdana"/>
      <family val="2"/>
    </font>
    <font>
      <sz val="9"/>
      <color indexed="81"/>
      <name val="Verdana"/>
      <family val="2"/>
    </font>
    <font>
      <b/>
      <sz val="9"/>
      <color indexed="81"/>
      <name val="Verdana"/>
      <family val="2"/>
    </font>
    <font>
      <sz val="8"/>
      <color indexed="81"/>
      <name val="Tahoma"/>
      <family val="2"/>
    </font>
    <font>
      <b/>
      <sz val="8"/>
      <color indexed="81"/>
      <name val="Tahoma"/>
      <family val="2"/>
    </font>
    <font>
      <sz val="9"/>
      <color indexed="81"/>
      <name val="Century Gothic"/>
      <family val="2"/>
    </font>
    <font>
      <b/>
      <sz val="18"/>
      <name val="Helvetica Neue"/>
    </font>
    <font>
      <sz val="10"/>
      <name val="Helvetica Neue"/>
    </font>
    <font>
      <b/>
      <sz val="10"/>
      <name val="Helvetica Neue"/>
    </font>
    <font>
      <sz val="12"/>
      <name val="Helvetica Neue"/>
    </font>
    <font>
      <sz val="10"/>
      <color indexed="17"/>
      <name val="Helvetica Neue"/>
    </font>
    <font>
      <sz val="10"/>
      <color indexed="9"/>
      <name val="Helvetica Neue"/>
    </font>
    <font>
      <sz val="8"/>
      <name val="Helvetica Neue"/>
    </font>
    <font>
      <sz val="9"/>
      <name val="Helvetica Neue"/>
    </font>
    <font>
      <sz val="8.5"/>
      <name val="Helvetica Neue"/>
    </font>
    <font>
      <b/>
      <sz val="10"/>
      <color indexed="9"/>
      <name val="Helvetica Neue"/>
    </font>
    <font>
      <sz val="11"/>
      <color indexed="9"/>
      <name val="Helvetica Neue"/>
    </font>
    <font>
      <b/>
      <sz val="12"/>
      <name val="Helvetica Neue"/>
    </font>
    <font>
      <b/>
      <sz val="10"/>
      <color indexed="53"/>
      <name val="Helvetica Neue"/>
    </font>
    <font>
      <b/>
      <sz val="10"/>
      <color indexed="10"/>
      <name val="Helvetica Neue"/>
    </font>
    <font>
      <b/>
      <sz val="14"/>
      <name val="Helvetica Neue"/>
    </font>
    <font>
      <b/>
      <sz val="12"/>
      <color indexed="16"/>
      <name val="Helvetica Neue"/>
    </font>
    <font>
      <b/>
      <sz val="12"/>
      <color indexed="10"/>
      <name val="Helvetica Neue"/>
    </font>
    <font>
      <sz val="14"/>
      <name val="Helvetica Neue"/>
    </font>
    <font>
      <b/>
      <sz val="10"/>
      <color indexed="25"/>
      <name val="Helvetica Neue"/>
    </font>
    <font>
      <sz val="10"/>
      <color rgb="FF000000"/>
      <name val="Geneva"/>
    </font>
    <font>
      <u/>
      <sz val="10"/>
      <color theme="10"/>
      <name val="Verdana"/>
    </font>
    <font>
      <u/>
      <sz val="10"/>
      <color theme="11"/>
      <name val="Verdana"/>
    </font>
  </fonts>
  <fills count="7">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2"/>
        <bgColor indexed="50"/>
      </patternFill>
    </fill>
  </fills>
  <borders count="5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double">
        <color auto="1"/>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double">
        <color auto="1"/>
      </top>
      <bottom style="thin">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double">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double">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top style="double">
        <color auto="1"/>
      </top>
      <bottom style="medium">
        <color auto="1"/>
      </bottom>
      <diagonal/>
    </border>
    <border>
      <left style="medium">
        <color auto="1"/>
      </left>
      <right/>
      <top/>
      <bottom/>
      <diagonal/>
    </border>
    <border>
      <left style="thin">
        <color auto="1"/>
      </left>
      <right style="medium">
        <color auto="1"/>
      </right>
      <top style="thin">
        <color auto="1"/>
      </top>
      <bottom style="double">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thin">
        <color auto="1"/>
      </right>
      <top/>
      <bottom style="double">
        <color auto="1"/>
      </bottom>
      <diagonal/>
    </border>
    <border>
      <left style="thin">
        <color auto="1"/>
      </left>
      <right style="medium">
        <color auto="1"/>
      </right>
      <top style="double">
        <color auto="1"/>
      </top>
      <bottom style="medium">
        <color auto="1"/>
      </bottom>
      <diagonal/>
    </border>
    <border>
      <left style="thin">
        <color auto="1"/>
      </left>
      <right style="medium">
        <color auto="1"/>
      </right>
      <top style="double">
        <color auto="1"/>
      </top>
      <bottom/>
      <diagonal/>
    </border>
    <border>
      <left style="thin">
        <color auto="1"/>
      </left>
      <right style="medium">
        <color auto="1"/>
      </right>
      <top style="medium">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double">
        <color auto="1"/>
      </top>
      <bottom/>
      <diagonal/>
    </border>
    <border>
      <left/>
      <right style="thin">
        <color auto="1"/>
      </right>
      <top style="double">
        <color auto="1"/>
      </top>
      <bottom/>
      <diagonal/>
    </border>
  </borders>
  <cellStyleXfs count="9">
    <xf numFmtId="0" fontId="0" fillId="0" borderId="0"/>
    <xf numFmtId="43" fontId="1"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38" fontId="2" fillId="0" borderId="0" applyFont="0" applyBorder="0" applyAlignment="0" applyProtection="0"/>
    <xf numFmtId="49" fontId="2"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93">
    <xf numFmtId="0" fontId="0" fillId="0" borderId="0" xfId="0"/>
    <xf numFmtId="38" fontId="9" fillId="0" borderId="0" xfId="5" applyFont="1" applyFill="1" applyAlignment="1" applyProtection="1">
      <alignment horizontal="left"/>
      <protection locked="0"/>
    </xf>
    <xf numFmtId="38" fontId="10" fillId="0" borderId="0" xfId="5" applyFont="1" applyProtection="1">
      <protection locked="0"/>
    </xf>
    <xf numFmtId="0" fontId="10" fillId="0" borderId="0" xfId="0" applyFont="1" applyAlignment="1"/>
    <xf numFmtId="38" fontId="11" fillId="0" borderId="0" xfId="5" applyFont="1" applyFill="1" applyAlignment="1" applyProtection="1">
      <protection locked="0"/>
    </xf>
    <xf numFmtId="38" fontId="11" fillId="0" borderId="0" xfId="5" applyFont="1" applyFill="1" applyAlignment="1" applyProtection="1">
      <alignment horizontal="right"/>
      <protection locked="0"/>
    </xf>
    <xf numFmtId="38" fontId="12" fillId="0" borderId="0" xfId="5" applyFont="1" applyFill="1" applyAlignment="1" applyProtection="1">
      <alignment horizontal="right"/>
      <protection locked="0"/>
    </xf>
    <xf numFmtId="38" fontId="10" fillId="0" borderId="0" xfId="5" applyFont="1" applyAlignment="1" applyProtection="1">
      <alignment horizontal="right"/>
      <protection locked="0"/>
    </xf>
    <xf numFmtId="164" fontId="10" fillId="0" borderId="0" xfId="5" applyNumberFormat="1" applyFont="1" applyFill="1" applyAlignment="1" applyProtection="1">
      <alignment horizontal="centerContinuous"/>
      <protection locked="0"/>
    </xf>
    <xf numFmtId="164" fontId="10" fillId="0" borderId="0" xfId="5" applyNumberFormat="1" applyFont="1" applyFill="1" applyAlignment="1" applyProtection="1">
      <alignment horizontal="right"/>
      <protection locked="0"/>
    </xf>
    <xf numFmtId="164" fontId="10" fillId="0" borderId="0" xfId="5" applyNumberFormat="1" applyFont="1" applyFill="1" applyBorder="1" applyAlignment="1" applyProtection="1">
      <alignment horizontal="right"/>
      <protection locked="0"/>
    </xf>
    <xf numFmtId="164" fontId="10" fillId="0" borderId="0" xfId="5" applyNumberFormat="1" applyFont="1" applyFill="1" applyBorder="1" applyAlignment="1" applyProtection="1">
      <alignment horizontal="centerContinuous"/>
      <protection locked="0"/>
    </xf>
    <xf numFmtId="173" fontId="11" fillId="3" borderId="0" xfId="5" applyNumberFormat="1" applyFont="1" applyFill="1" applyBorder="1" applyAlignment="1" applyProtection="1">
      <alignment horizontal="left"/>
      <protection locked="0"/>
    </xf>
    <xf numFmtId="0" fontId="10" fillId="0" borderId="0" xfId="0" applyFont="1"/>
    <xf numFmtId="38" fontId="10" fillId="0" borderId="0" xfId="5" applyFont="1" applyFill="1" applyAlignment="1" applyProtection="1">
      <alignment horizontal="left"/>
      <protection locked="0"/>
    </xf>
    <xf numFmtId="38" fontId="10" fillId="0" borderId="0" xfId="5" applyFont="1" applyFill="1" applyAlignment="1" applyProtection="1">
      <alignment horizontal="center"/>
      <protection locked="0"/>
    </xf>
    <xf numFmtId="38" fontId="10" fillId="0" borderId="0" xfId="5" applyFont="1" applyFill="1" applyAlignment="1" applyProtection="1">
      <alignment horizontal="right"/>
      <protection locked="0"/>
    </xf>
    <xf numFmtId="38" fontId="10" fillId="0" borderId="0" xfId="5" applyFont="1" applyFill="1" applyAlignment="1" applyProtection="1">
      <protection locked="0"/>
    </xf>
    <xf numFmtId="0" fontId="10" fillId="2" borderId="4" xfId="0" applyFont="1" applyFill="1" applyBorder="1" applyAlignment="1"/>
    <xf numFmtId="0" fontId="14" fillId="2" borderId="2" xfId="0" applyFont="1" applyFill="1" applyBorder="1" applyAlignment="1">
      <alignment horizontal="center"/>
    </xf>
    <xf numFmtId="0" fontId="10" fillId="0" borderId="0" xfId="0" applyFont="1" applyAlignment="1">
      <alignment horizontal="right"/>
    </xf>
    <xf numFmtId="0" fontId="10" fillId="0" borderId="5" xfId="0" applyFont="1" applyBorder="1"/>
    <xf numFmtId="0" fontId="10" fillId="0" borderId="0" xfId="0" applyFont="1" applyBorder="1" applyAlignment="1"/>
    <xf numFmtId="0" fontId="10" fillId="0" borderId="0" xfId="0" applyFont="1" applyBorder="1"/>
    <xf numFmtId="1" fontId="10" fillId="0" borderId="6" xfId="0" applyNumberFormat="1" applyFont="1" applyFill="1" applyBorder="1" applyAlignment="1">
      <alignment horizontal="center"/>
    </xf>
    <xf numFmtId="0" fontId="10" fillId="0" borderId="3" xfId="0" applyFont="1" applyBorder="1"/>
    <xf numFmtId="1" fontId="10" fillId="0" borderId="7" xfId="0" applyNumberFormat="1" applyFont="1" applyFill="1" applyBorder="1" applyAlignment="1">
      <alignment horizontal="center"/>
    </xf>
    <xf numFmtId="0" fontId="10" fillId="0" borderId="12" xfId="0" applyFont="1" applyBorder="1"/>
    <xf numFmtId="1" fontId="11" fillId="5" borderId="18" xfId="1" applyNumberFormat="1"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alignment horizontal="right"/>
    </xf>
    <xf numFmtId="0" fontId="10" fillId="2" borderId="0" xfId="0" applyFont="1" applyFill="1"/>
    <xf numFmtId="0" fontId="14" fillId="2" borderId="4" xfId="0" applyFont="1" applyFill="1" applyBorder="1" applyAlignment="1">
      <alignment horizontal="center" wrapText="1"/>
    </xf>
    <xf numFmtId="0" fontId="14" fillId="2" borderId="9" xfId="0" applyFont="1" applyFill="1" applyBorder="1" applyAlignment="1">
      <alignment horizontal="center" wrapText="1"/>
    </xf>
    <xf numFmtId="165" fontId="14" fillId="2" borderId="9" xfId="0" applyNumberFormat="1" applyFont="1" applyFill="1" applyBorder="1" applyAlignment="1">
      <alignment horizontal="center" wrapText="1"/>
    </xf>
    <xf numFmtId="3" fontId="10" fillId="0" borderId="6" xfId="0" applyNumberFormat="1" applyFont="1" applyFill="1" applyBorder="1" applyAlignment="1">
      <alignment horizontal="center"/>
    </xf>
    <xf numFmtId="166" fontId="10" fillId="5" borderId="6" xfId="0" applyNumberFormat="1" applyFont="1" applyFill="1" applyBorder="1" applyAlignment="1">
      <alignment horizontal="center"/>
    </xf>
    <xf numFmtId="165" fontId="10" fillId="3" borderId="6" xfId="0" applyNumberFormat="1" applyFont="1" applyFill="1" applyBorder="1" applyAlignment="1">
      <alignment horizontal="right"/>
    </xf>
    <xf numFmtId="165" fontId="10" fillId="5" borderId="6" xfId="0" applyNumberFormat="1" applyFont="1" applyFill="1" applyBorder="1" applyAlignment="1">
      <alignment horizontal="right"/>
    </xf>
    <xf numFmtId="3" fontId="10" fillId="0" borderId="7" xfId="0" applyNumberFormat="1" applyFont="1" applyFill="1" applyBorder="1" applyAlignment="1">
      <alignment horizontal="center"/>
    </xf>
    <xf numFmtId="165" fontId="10" fillId="3" borderId="7" xfId="0" applyNumberFormat="1" applyFont="1" applyFill="1" applyBorder="1" applyAlignment="1">
      <alignment horizontal="right"/>
    </xf>
    <xf numFmtId="3" fontId="11" fillId="0" borderId="8" xfId="0" applyNumberFormat="1" applyFont="1" applyFill="1" applyBorder="1" applyAlignment="1">
      <alignment horizontal="center"/>
    </xf>
    <xf numFmtId="166" fontId="11" fillId="5" borderId="8" xfId="0" applyNumberFormat="1" applyFont="1" applyFill="1" applyBorder="1" applyAlignment="1">
      <alignment horizontal="center"/>
    </xf>
    <xf numFmtId="165" fontId="11" fillId="3" borderId="8" xfId="0" applyNumberFormat="1" applyFont="1" applyFill="1" applyBorder="1" applyAlignment="1">
      <alignment horizontal="right"/>
    </xf>
    <xf numFmtId="165" fontId="11" fillId="5" borderId="8" xfId="0" applyNumberFormat="1" applyFont="1" applyFill="1" applyBorder="1" applyAlignment="1">
      <alignment horizontal="right"/>
    </xf>
    <xf numFmtId="3" fontId="10" fillId="0" borderId="0" xfId="0" applyNumberFormat="1" applyFont="1" applyBorder="1" applyAlignment="1">
      <alignment horizontal="center"/>
    </xf>
    <xf numFmtId="166" fontId="10" fillId="0" borderId="0" xfId="0" applyNumberFormat="1" applyFont="1" applyBorder="1" applyAlignment="1">
      <alignment horizontal="center"/>
    </xf>
    <xf numFmtId="165" fontId="10" fillId="3" borderId="0" xfId="0" applyNumberFormat="1" applyFont="1" applyFill="1" applyBorder="1" applyAlignment="1">
      <alignment horizontal="right"/>
    </xf>
    <xf numFmtId="0" fontId="14" fillId="2" borderId="2" xfId="0" applyFont="1" applyFill="1" applyBorder="1" applyAlignment="1">
      <alignment horizontal="center" wrapText="1"/>
    </xf>
    <xf numFmtId="1" fontId="11" fillId="0" borderId="18" xfId="0" applyNumberFormat="1" applyFont="1" applyFill="1" applyBorder="1" applyAlignment="1">
      <alignment horizontal="center"/>
    </xf>
    <xf numFmtId="166" fontId="11" fillId="0" borderId="18" xfId="0" applyNumberFormat="1" applyFont="1" applyBorder="1" applyAlignment="1">
      <alignment horizontal="center"/>
    </xf>
    <xf numFmtId="0" fontId="10" fillId="0" borderId="0" xfId="0" applyFont="1" applyBorder="1" applyAlignment="1">
      <alignment horizontal="center"/>
    </xf>
    <xf numFmtId="3" fontId="10"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0" fontId="11" fillId="0" borderId="0" xfId="0" applyFont="1" applyAlignment="1">
      <alignment horizontal="right"/>
    </xf>
    <xf numFmtId="165" fontId="11" fillId="5" borderId="6" xfId="0" applyNumberFormat="1" applyFont="1" applyFill="1" applyBorder="1"/>
    <xf numFmtId="44" fontId="11" fillId="5" borderId="6" xfId="0" applyNumberFormat="1" applyFont="1" applyFill="1" applyBorder="1"/>
    <xf numFmtId="0" fontId="10" fillId="0" borderId="0" xfId="0" applyFont="1" applyAlignment="1">
      <alignment horizontal="center"/>
    </xf>
    <xf numFmtId="38" fontId="11" fillId="0" borderId="0" xfId="5" applyFont="1" applyFill="1" applyAlignment="1" applyProtection="1">
      <alignment horizontal="left"/>
      <protection locked="0"/>
    </xf>
    <xf numFmtId="38" fontId="11" fillId="0" borderId="10" xfId="5" applyFont="1" applyFill="1" applyBorder="1" applyAlignment="1" applyProtection="1">
      <alignment horizontal="left"/>
      <protection locked="0"/>
    </xf>
    <xf numFmtId="164" fontId="10" fillId="0" borderId="10" xfId="5" applyNumberFormat="1" applyFont="1" applyFill="1" applyBorder="1" applyAlignment="1" applyProtection="1">
      <alignment horizontal="centerContinuous"/>
      <protection locked="0"/>
    </xf>
    <xf numFmtId="164" fontId="10" fillId="0" borderId="10" xfId="5" applyNumberFormat="1" applyFont="1" applyFill="1" applyBorder="1" applyAlignment="1" applyProtection="1">
      <alignment horizontal="right"/>
      <protection locked="0"/>
    </xf>
    <xf numFmtId="0" fontId="11" fillId="0" borderId="10" xfId="5" applyNumberFormat="1" applyFont="1" applyFill="1" applyBorder="1" applyAlignment="1" applyProtection="1">
      <alignment horizontal="left"/>
      <protection locked="0"/>
    </xf>
    <xf numFmtId="14" fontId="11" fillId="0" borderId="10" xfId="5" applyNumberFormat="1" applyFont="1" applyFill="1" applyBorder="1" applyAlignment="1" applyProtection="1">
      <alignment horizontal="left"/>
      <protection locked="0"/>
    </xf>
    <xf numFmtId="164" fontId="10" fillId="0" borderId="0" xfId="5" applyNumberFormat="1" applyFont="1" applyFill="1" applyProtection="1">
      <protection locked="0"/>
    </xf>
    <xf numFmtId="164" fontId="10" fillId="2" borderId="2" xfId="5" applyNumberFormat="1" applyFont="1" applyFill="1" applyBorder="1" applyProtection="1">
      <protection locked="0"/>
    </xf>
    <xf numFmtId="38" fontId="10" fillId="2" borderId="2" xfId="5" applyFont="1" applyFill="1" applyBorder="1" applyAlignment="1" applyProtection="1">
      <alignment horizontal="right"/>
      <protection locked="0"/>
    </xf>
    <xf numFmtId="38" fontId="10" fillId="0" borderId="5" xfId="5" applyFont="1" applyFill="1" applyBorder="1" applyProtection="1">
      <protection locked="0"/>
    </xf>
    <xf numFmtId="38" fontId="10" fillId="0" borderId="0" xfId="5" applyFont="1" applyFill="1" applyBorder="1" applyProtection="1">
      <protection locked="0"/>
    </xf>
    <xf numFmtId="6" fontId="10" fillId="5" borderId="6" xfId="2" applyFont="1" applyFill="1" applyBorder="1" applyProtection="1"/>
    <xf numFmtId="6" fontId="10" fillId="0" borderId="0" xfId="2" applyFont="1" applyFill="1" applyBorder="1" applyAlignment="1" applyProtection="1">
      <alignment horizontal="right"/>
      <protection locked="0"/>
    </xf>
    <xf numFmtId="6" fontId="10" fillId="0" borderId="0" xfId="2" applyFont="1" applyFill="1" applyBorder="1" applyProtection="1">
      <protection locked="0"/>
    </xf>
    <xf numFmtId="38" fontId="10" fillId="0" borderId="5" xfId="5" applyFont="1" applyBorder="1" applyProtection="1">
      <protection locked="0"/>
    </xf>
    <xf numFmtId="38" fontId="10" fillId="0" borderId="0" xfId="5" applyFont="1" applyFill="1" applyBorder="1" applyAlignment="1" applyProtection="1">
      <alignment horizontal="left"/>
      <protection locked="0"/>
    </xf>
    <xf numFmtId="44" fontId="10" fillId="0" borderId="6" xfId="5" applyNumberFormat="1" applyFont="1" applyFill="1" applyBorder="1" applyAlignment="1" applyProtection="1">
      <alignment horizontal="right"/>
      <protection locked="0"/>
    </xf>
    <xf numFmtId="6" fontId="10" fillId="0" borderId="6" xfId="2" applyFont="1" applyFill="1" applyBorder="1" applyProtection="1">
      <protection locked="0"/>
    </xf>
    <xf numFmtId="7" fontId="10" fillId="3" borderId="9" xfId="5" applyNumberFormat="1" applyFont="1" applyFill="1" applyBorder="1" applyAlignment="1" applyProtection="1">
      <alignment horizontal="right"/>
      <protection locked="0"/>
    </xf>
    <xf numFmtId="164" fontId="10" fillId="0" borderId="0" xfId="5" applyNumberFormat="1" applyFont="1" applyFill="1" applyBorder="1" applyProtection="1">
      <protection locked="0"/>
    </xf>
    <xf numFmtId="0" fontId="10" fillId="0" borderId="31" xfId="0" applyFont="1" applyBorder="1" applyAlignment="1" applyProtection="1">
      <protection locked="0"/>
    </xf>
    <xf numFmtId="38" fontId="10" fillId="5" borderId="38" xfId="5" applyFont="1" applyFill="1" applyBorder="1" applyAlignment="1" applyProtection="1">
      <alignment horizontal="right"/>
      <protection locked="0"/>
    </xf>
    <xf numFmtId="38" fontId="10" fillId="0" borderId="3" xfId="5" applyFont="1" applyFill="1" applyBorder="1" applyProtection="1">
      <protection locked="0"/>
    </xf>
    <xf numFmtId="38" fontId="10" fillId="0" borderId="11" xfId="5" applyFont="1" applyFill="1" applyBorder="1" applyProtection="1">
      <protection locked="0"/>
    </xf>
    <xf numFmtId="6" fontId="10" fillId="0" borderId="7" xfId="2" applyFont="1" applyFill="1" applyBorder="1" applyProtection="1">
      <protection locked="0"/>
    </xf>
    <xf numFmtId="0" fontId="10" fillId="0" borderId="36" xfId="0" applyFont="1" applyBorder="1" applyAlignment="1" applyProtection="1">
      <protection locked="0"/>
    </xf>
    <xf numFmtId="38" fontId="10" fillId="5" borderId="40" xfId="5" applyFont="1" applyFill="1" applyBorder="1" applyAlignment="1" applyProtection="1">
      <alignment horizontal="right"/>
      <protection locked="0"/>
    </xf>
    <xf numFmtId="38" fontId="10" fillId="0" borderId="12" xfId="5" applyFont="1" applyFill="1" applyBorder="1" applyProtection="1">
      <protection locked="0"/>
    </xf>
    <xf numFmtId="6" fontId="11" fillId="5" borderId="8" xfId="2" applyFont="1" applyFill="1" applyBorder="1" applyProtection="1"/>
    <xf numFmtId="166" fontId="10" fillId="0" borderId="0" xfId="2" applyNumberFormat="1" applyFont="1" applyFill="1" applyBorder="1" applyProtection="1">
      <protection locked="0"/>
    </xf>
    <xf numFmtId="0" fontId="10" fillId="0" borderId="32" xfId="0" applyFont="1" applyBorder="1" applyProtection="1">
      <protection locked="0"/>
    </xf>
    <xf numFmtId="38" fontId="10" fillId="5" borderId="37" xfId="5" applyFont="1" applyFill="1" applyBorder="1" applyAlignment="1" applyProtection="1">
      <alignment horizontal="right"/>
      <protection locked="0"/>
    </xf>
    <xf numFmtId="38" fontId="17" fillId="0" borderId="0" xfId="5" applyFont="1" applyFill="1" applyAlignment="1" applyProtection="1">
      <protection locked="0"/>
    </xf>
    <xf numFmtId="166" fontId="17" fillId="0" borderId="0" xfId="2" applyNumberFormat="1" applyFont="1" applyFill="1" applyBorder="1" applyProtection="1">
      <protection locked="0"/>
    </xf>
    <xf numFmtId="38" fontId="10" fillId="0" borderId="12" xfId="5" applyFont="1" applyBorder="1" applyProtection="1">
      <protection locked="0"/>
    </xf>
    <xf numFmtId="38" fontId="11" fillId="0" borderId="33" xfId="5" applyFont="1" applyBorder="1" applyProtection="1">
      <protection locked="0"/>
    </xf>
    <xf numFmtId="38" fontId="11" fillId="5" borderId="41" xfId="5" applyFont="1" applyFill="1" applyBorder="1" applyAlignment="1" applyProtection="1">
      <alignment horizontal="right"/>
    </xf>
    <xf numFmtId="38" fontId="10" fillId="0" borderId="0" xfId="5" applyFont="1" applyFill="1" applyProtection="1">
      <protection locked="0"/>
    </xf>
    <xf numFmtId="8" fontId="10" fillId="0" borderId="0" xfId="5" applyNumberFormat="1" applyFont="1" applyAlignment="1" applyProtection="1">
      <alignment horizontal="right"/>
      <protection locked="0"/>
    </xf>
    <xf numFmtId="164" fontId="10" fillId="2" borderId="4" xfId="5" applyNumberFormat="1" applyFont="1" applyFill="1" applyBorder="1" applyProtection="1">
      <protection locked="0"/>
    </xf>
    <xf numFmtId="164" fontId="10" fillId="2" borderId="2" xfId="5" applyNumberFormat="1" applyFont="1" applyFill="1" applyBorder="1" applyAlignment="1" applyProtection="1">
      <alignment horizontal="right"/>
      <protection locked="0"/>
    </xf>
    <xf numFmtId="166" fontId="10" fillId="5" borderId="6" xfId="2" applyNumberFormat="1" applyFont="1" applyFill="1" applyBorder="1" applyAlignment="1" applyProtection="1">
      <alignment horizontal="right"/>
    </xf>
    <xf numFmtId="38" fontId="10" fillId="0" borderId="31" xfId="5" applyFont="1" applyFill="1" applyBorder="1" applyAlignment="1" applyProtection="1">
      <alignment horizontal="left"/>
      <protection locked="0"/>
    </xf>
    <xf numFmtId="170" fontId="10" fillId="0" borderId="38" xfId="5" applyNumberFormat="1" applyFont="1" applyFill="1" applyBorder="1" applyAlignment="1" applyProtection="1">
      <alignment horizontal="right"/>
      <protection locked="0"/>
    </xf>
    <xf numFmtId="38" fontId="10" fillId="0" borderId="32" xfId="5" applyFont="1" applyBorder="1" applyProtection="1">
      <protection locked="0"/>
    </xf>
    <xf numFmtId="169" fontId="10" fillId="0" borderId="37" xfId="5" applyNumberFormat="1" applyFont="1" applyFill="1" applyBorder="1" applyAlignment="1" applyProtection="1">
      <alignment horizontal="right"/>
      <protection locked="0"/>
    </xf>
    <xf numFmtId="169" fontId="11" fillId="5" borderId="43" xfId="5" applyNumberFormat="1" applyFont="1" applyFill="1" applyBorder="1" applyAlignment="1" applyProtection="1">
      <alignment horizontal="right"/>
    </xf>
    <xf numFmtId="38" fontId="10" fillId="0" borderId="31" xfId="5" applyFont="1" applyBorder="1" applyProtection="1">
      <protection locked="0"/>
    </xf>
    <xf numFmtId="164" fontId="11" fillId="0" borderId="0" xfId="5" applyNumberFormat="1" applyFont="1" applyFill="1" applyProtection="1">
      <protection locked="0"/>
    </xf>
    <xf numFmtId="6" fontId="10" fillId="5" borderId="42" xfId="2" applyFont="1" applyFill="1" applyBorder="1" applyProtection="1"/>
    <xf numFmtId="166" fontId="10" fillId="5" borderId="7" xfId="2" applyNumberFormat="1" applyFont="1" applyFill="1" applyBorder="1" applyAlignment="1" applyProtection="1">
      <alignment horizontal="right"/>
    </xf>
    <xf numFmtId="164" fontId="10" fillId="0" borderId="0" xfId="5" applyNumberFormat="1" applyFont="1" applyAlignment="1" applyProtection="1">
      <alignment horizontal="right"/>
      <protection locked="0"/>
    </xf>
    <xf numFmtId="166" fontId="11" fillId="5" borderId="8" xfId="2" applyNumberFormat="1" applyFont="1" applyFill="1" applyBorder="1" applyAlignment="1" applyProtection="1">
      <alignment horizontal="right"/>
    </xf>
    <xf numFmtId="38" fontId="10" fillId="0" borderId="31" xfId="5" applyFont="1" applyFill="1" applyBorder="1" applyProtection="1">
      <protection locked="0"/>
    </xf>
    <xf numFmtId="6" fontId="11" fillId="6" borderId="6" xfId="2" applyNumberFormat="1" applyFont="1" applyFill="1" applyBorder="1" applyProtection="1"/>
    <xf numFmtId="164" fontId="10" fillId="0" borderId="13" xfId="5" applyNumberFormat="1" applyFont="1" applyFill="1" applyBorder="1" applyAlignment="1" applyProtection="1">
      <alignment horizontal="right"/>
    </xf>
    <xf numFmtId="38" fontId="11" fillId="0" borderId="0" xfId="5" applyFont="1" applyFill="1" applyProtection="1">
      <protection locked="0"/>
    </xf>
    <xf numFmtId="164" fontId="11" fillId="0" borderId="0" xfId="5" applyNumberFormat="1" applyFont="1" applyFill="1" applyAlignment="1" applyProtection="1">
      <alignment horizontal="right"/>
      <protection locked="0"/>
    </xf>
    <xf numFmtId="169" fontId="11" fillId="5" borderId="44" xfId="5" applyNumberFormat="1" applyFont="1" applyFill="1" applyBorder="1" applyAlignment="1" applyProtection="1">
      <alignment horizontal="right"/>
    </xf>
    <xf numFmtId="38" fontId="10" fillId="0" borderId="21" xfId="5" applyFont="1" applyBorder="1" applyProtection="1">
      <protection locked="0"/>
    </xf>
    <xf numFmtId="38" fontId="11" fillId="0" borderId="30" xfId="5" applyFont="1" applyFill="1" applyBorder="1" applyAlignment="1" applyProtection="1">
      <alignment horizontal="left"/>
      <protection locked="0"/>
    </xf>
    <xf numFmtId="169" fontId="11" fillId="5" borderId="34" xfId="5" applyNumberFormat="1" applyFont="1" applyFill="1" applyBorder="1" applyAlignment="1" applyProtection="1">
      <alignment horizontal="right"/>
      <protection locked="0"/>
    </xf>
    <xf numFmtId="38" fontId="14" fillId="2" borderId="0" xfId="5" applyFont="1" applyFill="1" applyProtection="1">
      <protection locked="0"/>
    </xf>
    <xf numFmtId="38" fontId="14" fillId="2" borderId="0" xfId="5" applyFont="1" applyFill="1" applyAlignment="1" applyProtection="1">
      <alignment horizontal="right"/>
      <protection locked="0"/>
    </xf>
    <xf numFmtId="6" fontId="11" fillId="5" borderId="43" xfId="5" applyNumberFormat="1" applyFont="1" applyFill="1" applyBorder="1" applyAlignment="1" applyProtection="1">
      <alignment horizontal="right"/>
    </xf>
    <xf numFmtId="38" fontId="11" fillId="0" borderId="35" xfId="5" applyFont="1" applyBorder="1" applyProtection="1">
      <protection locked="0"/>
    </xf>
    <xf numFmtId="38" fontId="11" fillId="0" borderId="31" xfId="5" applyFont="1" applyFill="1" applyBorder="1" applyAlignment="1" applyProtection="1">
      <alignment horizontal="left"/>
      <protection locked="0"/>
    </xf>
    <xf numFmtId="6" fontId="11" fillId="5" borderId="34" xfId="5" applyNumberFormat="1" applyFont="1" applyFill="1" applyBorder="1" applyAlignment="1" applyProtection="1">
      <alignment horizontal="right"/>
    </xf>
    <xf numFmtId="38" fontId="10" fillId="0" borderId="0" xfId="5" applyFont="1" applyFill="1" applyBorder="1" applyAlignment="1" applyProtection="1">
      <alignment horizontal="right"/>
      <protection locked="0"/>
    </xf>
    <xf numFmtId="38" fontId="18" fillId="2" borderId="22" xfId="5" applyFont="1" applyFill="1" applyBorder="1" applyProtection="1">
      <protection locked="0"/>
    </xf>
    <xf numFmtId="169" fontId="18" fillId="2" borderId="24" xfId="5" applyNumberFormat="1" applyFont="1" applyFill="1" applyBorder="1" applyAlignment="1" applyProtection="1">
      <alignment horizontal="right"/>
      <protection locked="0"/>
    </xf>
    <xf numFmtId="38" fontId="10" fillId="0" borderId="0" xfId="5" applyFont="1" applyBorder="1" applyAlignment="1" applyProtection="1">
      <alignment horizontal="right"/>
      <protection locked="0"/>
    </xf>
    <xf numFmtId="164" fontId="11" fillId="0" borderId="0" xfId="5" applyNumberFormat="1" applyFont="1" applyFill="1" applyBorder="1" applyAlignment="1" applyProtection="1">
      <alignment horizontal="right"/>
      <protection locked="0"/>
    </xf>
    <xf numFmtId="5" fontId="11" fillId="5" borderId="6" xfId="5" applyNumberFormat="1" applyFont="1" applyFill="1" applyBorder="1" applyProtection="1"/>
    <xf numFmtId="166" fontId="11" fillId="5" borderId="6" xfId="2" applyNumberFormat="1" applyFont="1" applyFill="1" applyBorder="1" applyAlignment="1" applyProtection="1">
      <alignment horizontal="right"/>
    </xf>
    <xf numFmtId="38" fontId="10" fillId="3" borderId="0" xfId="5" applyFont="1" applyFill="1" applyBorder="1" applyProtection="1">
      <protection locked="0"/>
    </xf>
    <xf numFmtId="38" fontId="11" fillId="0" borderId="0" xfId="5" applyFont="1" applyAlignment="1" applyProtection="1">
      <alignment horizontal="right"/>
      <protection locked="0"/>
    </xf>
    <xf numFmtId="6" fontId="11" fillId="5" borderId="6" xfId="2" applyNumberFormat="1" applyFont="1" applyFill="1" applyBorder="1" applyAlignment="1" applyProtection="1">
      <alignment horizontal="right"/>
    </xf>
    <xf numFmtId="38" fontId="10" fillId="0" borderId="0" xfId="5" applyFont="1" applyFill="1" applyBorder="1" applyAlignment="1" applyProtection="1">
      <alignment horizontal="right" wrapText="1"/>
    </xf>
    <xf numFmtId="164" fontId="10" fillId="0" borderId="0" xfId="5" applyNumberFormat="1" applyFont="1" applyFill="1" applyProtection="1"/>
    <xf numFmtId="164" fontId="11" fillId="0" borderId="0" xfId="5" applyNumberFormat="1" applyFont="1" applyFill="1" applyProtection="1"/>
    <xf numFmtId="0" fontId="10" fillId="0" borderId="0" xfId="0" applyFont="1" applyAlignment="1" applyProtection="1">
      <alignment wrapText="1"/>
    </xf>
    <xf numFmtId="164" fontId="10" fillId="0" borderId="0" xfId="5" applyNumberFormat="1" applyFont="1" applyFill="1" applyBorder="1" applyProtection="1"/>
    <xf numFmtId="38" fontId="10" fillId="0" borderId="0" xfId="5" applyFont="1" applyFill="1" applyBorder="1" applyAlignment="1" applyProtection="1">
      <alignment horizontal="left" wrapText="1"/>
      <protection locked="0"/>
    </xf>
    <xf numFmtId="38" fontId="10" fillId="0" borderId="0" xfId="5" applyFont="1" applyFill="1" applyBorder="1" applyAlignment="1" applyProtection="1">
      <alignment horizontal="right" wrapText="1"/>
      <protection locked="0"/>
    </xf>
    <xf numFmtId="38" fontId="10" fillId="0" borderId="10" xfId="5" applyFont="1" applyFill="1" applyBorder="1" applyProtection="1">
      <protection locked="0"/>
    </xf>
    <xf numFmtId="38" fontId="10" fillId="0" borderId="15" xfId="5" applyFont="1" applyFill="1" applyBorder="1" applyProtection="1">
      <protection locked="0"/>
    </xf>
    <xf numFmtId="6" fontId="11" fillId="5" borderId="6" xfId="5" applyNumberFormat="1" applyFont="1" applyFill="1" applyBorder="1" applyAlignment="1" applyProtection="1">
      <alignment horizontal="right"/>
    </xf>
    <xf numFmtId="164" fontId="10" fillId="0" borderId="0" xfId="5" applyNumberFormat="1" applyFont="1" applyProtection="1"/>
    <xf numFmtId="38" fontId="10" fillId="0" borderId="14" xfId="5" applyFont="1" applyFill="1" applyBorder="1" applyProtection="1">
      <protection locked="0"/>
    </xf>
    <xf numFmtId="38" fontId="11" fillId="0" borderId="0" xfId="5" applyFont="1" applyFill="1" applyBorder="1" applyProtection="1">
      <protection locked="0"/>
    </xf>
    <xf numFmtId="38" fontId="10" fillId="0" borderId="0" xfId="5" applyFont="1" applyProtection="1"/>
    <xf numFmtId="164" fontId="11" fillId="0" borderId="0" xfId="5" applyNumberFormat="1" applyFont="1" applyFill="1" applyBorder="1" applyProtection="1">
      <protection locked="0"/>
    </xf>
    <xf numFmtId="5" fontId="11" fillId="5" borderId="6" xfId="5" applyNumberFormat="1" applyFont="1" applyFill="1" applyBorder="1" applyAlignment="1" applyProtection="1">
      <alignment horizontal="right"/>
    </xf>
    <xf numFmtId="38" fontId="11" fillId="0" borderId="0" xfId="5" applyFont="1" applyProtection="1"/>
    <xf numFmtId="38" fontId="10" fillId="0" borderId="16" xfId="5" applyFont="1" applyFill="1" applyBorder="1" applyProtection="1">
      <protection locked="0"/>
    </xf>
    <xf numFmtId="6" fontId="11" fillId="5" borderId="18" xfId="2" applyFont="1" applyFill="1" applyBorder="1" applyProtection="1"/>
    <xf numFmtId="166" fontId="11" fillId="5" borderId="18" xfId="2" applyNumberFormat="1" applyFont="1" applyFill="1" applyBorder="1" applyAlignment="1" applyProtection="1">
      <alignment horizontal="right"/>
    </xf>
    <xf numFmtId="164" fontId="10" fillId="0" borderId="0" xfId="5" applyNumberFormat="1" applyFont="1" applyProtection="1">
      <protection locked="0"/>
    </xf>
    <xf numFmtId="38" fontId="10" fillId="0" borderId="0" xfId="5" applyFont="1" applyAlignment="1" applyProtection="1">
      <alignment horizontal="right"/>
    </xf>
    <xf numFmtId="38" fontId="18" fillId="0" borderId="0" xfId="5" applyFont="1" applyFill="1" applyBorder="1" applyAlignment="1" applyProtection="1">
      <alignment horizontal="center"/>
      <protection locked="0"/>
    </xf>
    <xf numFmtId="171" fontId="10" fillId="0" borderId="0" xfId="0" applyNumberFormat="1" applyFont="1" applyAlignment="1" applyProtection="1">
      <alignment horizontal="right"/>
      <protection locked="0"/>
    </xf>
    <xf numFmtId="0" fontId="10" fillId="0" borderId="0" xfId="0" applyFont="1" applyAlignment="1" applyProtection="1">
      <alignment wrapText="1"/>
      <protection locked="0"/>
    </xf>
    <xf numFmtId="38" fontId="19" fillId="2" borderId="1" xfId="5" applyFont="1" applyFill="1" applyBorder="1" applyProtection="1">
      <protection locked="0"/>
    </xf>
    <xf numFmtId="38" fontId="14" fillId="2" borderId="4" xfId="5" applyFont="1" applyFill="1" applyBorder="1" applyProtection="1">
      <protection locked="0"/>
    </xf>
    <xf numFmtId="6" fontId="10" fillId="0" borderId="0" xfId="2" applyFont="1" applyFill="1" applyBorder="1" applyAlignment="1" applyProtection="1">
      <alignment horizontal="right"/>
    </xf>
    <xf numFmtId="8" fontId="10" fillId="5" borderId="6" xfId="5" applyNumberFormat="1" applyFont="1" applyFill="1" applyBorder="1" applyAlignment="1" applyProtection="1">
      <alignment horizontal="right"/>
      <protection locked="0"/>
    </xf>
    <xf numFmtId="7" fontId="10" fillId="5" borderId="9" xfId="5" applyNumberFormat="1" applyFont="1" applyFill="1" applyBorder="1" applyAlignment="1" applyProtection="1">
      <alignment horizontal="right"/>
      <protection locked="0"/>
    </xf>
    <xf numFmtId="38" fontId="10" fillId="0" borderId="38" xfId="5" applyFont="1" applyBorder="1" applyAlignment="1" applyProtection="1">
      <alignment horizontal="right"/>
      <protection locked="0"/>
    </xf>
    <xf numFmtId="6" fontId="10" fillId="5" borderId="7" xfId="2" applyFont="1" applyFill="1" applyBorder="1" applyProtection="1"/>
    <xf numFmtId="38" fontId="10" fillId="0" borderId="36" xfId="5" applyFont="1" applyBorder="1" applyProtection="1">
      <protection locked="0"/>
    </xf>
    <xf numFmtId="6" fontId="11" fillId="5" borderId="8" xfId="2" applyFont="1" applyFill="1" applyBorder="1" applyAlignment="1" applyProtection="1">
      <alignment horizontal="right"/>
    </xf>
    <xf numFmtId="38" fontId="11" fillId="0" borderId="0" xfId="5" applyFont="1" applyFill="1" applyBorder="1" applyAlignment="1" applyProtection="1">
      <alignment horizontal="left"/>
      <protection locked="0"/>
    </xf>
    <xf numFmtId="6" fontId="11" fillId="0" borderId="0" xfId="2" applyFont="1" applyFill="1" applyBorder="1" applyAlignment="1" applyProtection="1">
      <alignment horizontal="right"/>
    </xf>
    <xf numFmtId="38" fontId="11" fillId="0" borderId="33" xfId="5" applyFont="1" applyBorder="1" applyAlignment="1" applyProtection="1">
      <alignment horizontal="left"/>
      <protection locked="0"/>
    </xf>
    <xf numFmtId="6" fontId="10" fillId="5" borderId="6" xfId="2" applyFont="1" applyFill="1" applyBorder="1" applyProtection="1">
      <protection locked="0"/>
    </xf>
    <xf numFmtId="166" fontId="10" fillId="0" borderId="15" xfId="2" applyNumberFormat="1" applyFont="1" applyFill="1" applyBorder="1" applyAlignment="1" applyProtection="1">
      <alignment horizontal="right"/>
    </xf>
    <xf numFmtId="38" fontId="10" fillId="0" borderId="0" xfId="5" applyFont="1" applyBorder="1" applyProtection="1">
      <protection locked="0"/>
    </xf>
    <xf numFmtId="170" fontId="10" fillId="3" borderId="38" xfId="5" applyNumberFormat="1" applyFont="1" applyFill="1" applyBorder="1" applyAlignment="1" applyProtection="1">
      <alignment horizontal="right"/>
      <protection locked="0"/>
    </xf>
    <xf numFmtId="169" fontId="10" fillId="5" borderId="45" xfId="5" applyNumberFormat="1" applyFont="1" applyFill="1" applyBorder="1" applyAlignment="1" applyProtection="1">
      <alignment horizontal="right"/>
      <protection locked="0"/>
    </xf>
    <xf numFmtId="169" fontId="11" fillId="5" borderId="46" xfId="5" applyNumberFormat="1" applyFont="1" applyFill="1" applyBorder="1" applyAlignment="1" applyProtection="1">
      <alignment horizontal="right"/>
      <protection locked="0"/>
    </xf>
    <xf numFmtId="166" fontId="11" fillId="0" borderId="15" xfId="2" applyNumberFormat="1" applyFont="1" applyFill="1" applyBorder="1" applyAlignment="1" applyProtection="1">
      <alignment horizontal="right"/>
    </xf>
    <xf numFmtId="164" fontId="10" fillId="0" borderId="15" xfId="5" applyNumberFormat="1" applyFont="1" applyFill="1" applyBorder="1" applyAlignment="1" applyProtection="1">
      <alignment horizontal="right"/>
    </xf>
    <xf numFmtId="6" fontId="10" fillId="0" borderId="0" xfId="2" applyFont="1" applyFill="1" applyBorder="1" applyProtection="1"/>
    <xf numFmtId="164" fontId="10" fillId="0" borderId="15" xfId="5" applyNumberFormat="1" applyFont="1" applyFill="1" applyBorder="1" applyAlignment="1" applyProtection="1">
      <alignment horizontal="right"/>
      <protection locked="0"/>
    </xf>
    <xf numFmtId="169" fontId="11" fillId="5" borderId="6" xfId="5" applyNumberFormat="1" applyFont="1" applyFill="1" applyBorder="1" applyAlignment="1" applyProtection="1">
      <protection locked="0"/>
    </xf>
    <xf numFmtId="38" fontId="11" fillId="4" borderId="30" xfId="5" applyFont="1" applyFill="1" applyBorder="1" applyAlignment="1" applyProtection="1">
      <alignment horizontal="left"/>
      <protection locked="0"/>
    </xf>
    <xf numFmtId="169" fontId="11" fillId="4" borderId="38" xfId="5" applyNumberFormat="1" applyFont="1" applyFill="1" applyBorder="1" applyAlignment="1" applyProtection="1">
      <alignment horizontal="right"/>
      <protection locked="0"/>
    </xf>
    <xf numFmtId="0" fontId="20" fillId="0" borderId="0" xfId="0" applyFont="1"/>
    <xf numFmtId="38" fontId="20" fillId="0" borderId="0" xfId="5" applyFont="1" applyAlignment="1" applyProtection="1">
      <alignment horizontal="right"/>
      <protection locked="0"/>
    </xf>
    <xf numFmtId="170" fontId="10" fillId="2" borderId="38" xfId="5" applyNumberFormat="1" applyFont="1" applyFill="1" applyBorder="1" applyAlignment="1" applyProtection="1">
      <alignment horizontal="right"/>
      <protection locked="0"/>
    </xf>
    <xf numFmtId="6" fontId="20" fillId="5" borderId="6" xfId="2" applyNumberFormat="1" applyFont="1" applyFill="1" applyBorder="1" applyAlignment="1" applyProtection="1">
      <alignment horizontal="right"/>
    </xf>
    <xf numFmtId="38" fontId="10" fillId="0" borderId="0" xfId="5" applyFont="1" applyFill="1" applyBorder="1" applyAlignment="1" applyProtection="1">
      <alignment horizontal="left" vertical="top" wrapText="1"/>
      <protection locked="0"/>
    </xf>
    <xf numFmtId="5" fontId="11" fillId="0" borderId="0" xfId="5" applyNumberFormat="1" applyFont="1" applyFill="1" applyBorder="1" applyAlignment="1" applyProtection="1">
      <alignment horizontal="right"/>
      <protection locked="0"/>
    </xf>
    <xf numFmtId="38" fontId="11" fillId="4" borderId="31" xfId="5" applyFont="1" applyFill="1" applyBorder="1" applyAlignment="1" applyProtection="1">
      <alignment horizontal="left"/>
      <protection locked="0"/>
    </xf>
    <xf numFmtId="169" fontId="11" fillId="4" borderId="34" xfId="5" applyNumberFormat="1" applyFont="1" applyFill="1" applyBorder="1" applyAlignment="1" applyProtection="1">
      <alignment horizontal="right"/>
      <protection locked="0"/>
    </xf>
    <xf numFmtId="169" fontId="18" fillId="2" borderId="23" xfId="5" applyNumberFormat="1" applyFont="1" applyFill="1" applyBorder="1" applyAlignment="1" applyProtection="1">
      <alignment horizontal="right"/>
      <protection locked="0"/>
    </xf>
    <xf numFmtId="164" fontId="10" fillId="0" borderId="0" xfId="5" applyNumberFormat="1" applyFont="1" applyFill="1" applyBorder="1" applyAlignment="1" applyProtection="1">
      <alignment horizontal="right"/>
    </xf>
    <xf numFmtId="0" fontId="10" fillId="0" borderId="0" xfId="0" applyFont="1" applyAlignment="1">
      <alignment wrapText="1"/>
    </xf>
    <xf numFmtId="38" fontId="10" fillId="0" borderId="10" xfId="5" applyFont="1" applyBorder="1" applyProtection="1">
      <protection locked="0"/>
    </xf>
    <xf numFmtId="0" fontId="11" fillId="0" borderId="0" xfId="0" applyFont="1"/>
    <xf numFmtId="0" fontId="14" fillId="2" borderId="1" xfId="0" applyFont="1" applyFill="1" applyBorder="1"/>
    <xf numFmtId="0" fontId="14" fillId="2" borderId="4" xfId="0" applyFont="1" applyFill="1" applyBorder="1"/>
    <xf numFmtId="0" fontId="14" fillId="2" borderId="4" xfId="0" applyFont="1" applyFill="1" applyBorder="1" applyAlignment="1">
      <alignment horizontal="right" wrapText="1"/>
    </xf>
    <xf numFmtId="0" fontId="14" fillId="2" borderId="2" xfId="0" applyFont="1" applyFill="1" applyBorder="1" applyAlignment="1">
      <alignment horizontal="right"/>
    </xf>
    <xf numFmtId="169" fontId="10" fillId="0" borderId="6" xfId="0" applyNumberFormat="1" applyFont="1" applyBorder="1"/>
    <xf numFmtId="0" fontId="10" fillId="0" borderId="0" xfId="0" applyFont="1" applyBorder="1" applyAlignment="1">
      <alignment vertical="top"/>
    </xf>
    <xf numFmtId="0" fontId="10" fillId="0" borderId="11" xfId="0" applyFont="1" applyBorder="1"/>
    <xf numFmtId="0" fontId="10" fillId="0" borderId="17" xfId="0" applyFont="1" applyBorder="1"/>
    <xf numFmtId="169" fontId="10" fillId="0" borderId="7" xfId="0" applyNumberFormat="1" applyFont="1" applyBorder="1"/>
    <xf numFmtId="0" fontId="11" fillId="0" borderId="10" xfId="0" applyFont="1" applyBorder="1" applyAlignment="1">
      <alignment horizontal="left"/>
    </xf>
    <xf numFmtId="0" fontId="10" fillId="0" borderId="19" xfId="0" applyFont="1" applyBorder="1"/>
    <xf numFmtId="169" fontId="11" fillId="5" borderId="8" xfId="0" applyNumberFormat="1" applyFont="1" applyFill="1" applyBorder="1"/>
    <xf numFmtId="169" fontId="10" fillId="0" borderId="0" xfId="0" applyNumberFormat="1" applyFont="1" applyFill="1" applyBorder="1"/>
    <xf numFmtId="169" fontId="14" fillId="2" borderId="2" xfId="0" applyNumberFormat="1" applyFont="1" applyFill="1" applyBorder="1"/>
    <xf numFmtId="169" fontId="10" fillId="0" borderId="0" xfId="0" applyNumberFormat="1" applyFont="1"/>
    <xf numFmtId="169" fontId="21" fillId="5" borderId="6" xfId="0" applyNumberFormat="1" applyFont="1" applyFill="1" applyBorder="1" applyAlignment="1">
      <alignment horizontal="right"/>
    </xf>
    <xf numFmtId="38" fontId="11" fillId="0" borderId="0" xfId="0" applyNumberFormat="1" applyFont="1" applyFill="1"/>
    <xf numFmtId="38" fontId="10" fillId="0" borderId="0" xfId="0" applyNumberFormat="1" applyFont="1"/>
    <xf numFmtId="0" fontId="10" fillId="0" borderId="10" xfId="0" applyFont="1" applyBorder="1"/>
    <xf numFmtId="0" fontId="10" fillId="0" borderId="10" xfId="0" applyFont="1" applyBorder="1" applyAlignment="1">
      <alignment horizontal="right"/>
    </xf>
    <xf numFmtId="169" fontId="10" fillId="5" borderId="8" xfId="0" applyNumberFormat="1" applyFont="1" applyFill="1" applyBorder="1" applyAlignment="1">
      <alignment horizontal="right"/>
    </xf>
    <xf numFmtId="169" fontId="11" fillId="5" borderId="6" xfId="0" applyNumberFormat="1" applyFont="1" applyFill="1" applyBorder="1" applyAlignment="1">
      <alignment horizontal="right"/>
    </xf>
    <xf numFmtId="172" fontId="11" fillId="0" borderId="10" xfId="5" applyNumberFormat="1" applyFont="1" applyFill="1" applyBorder="1" applyAlignment="1" applyProtection="1">
      <alignment horizontal="left"/>
      <protection locked="0"/>
    </xf>
    <xf numFmtId="170" fontId="10" fillId="5" borderId="38" xfId="5" applyNumberFormat="1" applyFont="1" applyFill="1" applyBorder="1" applyAlignment="1" applyProtection="1">
      <alignment horizontal="right"/>
      <protection locked="0"/>
    </xf>
    <xf numFmtId="6" fontId="10" fillId="5" borderId="7" xfId="2" applyFont="1" applyFill="1" applyBorder="1" applyProtection="1">
      <protection locked="0"/>
    </xf>
    <xf numFmtId="6" fontId="11" fillId="5" borderId="8" xfId="2" applyFont="1" applyFill="1" applyBorder="1" applyProtection="1">
      <protection locked="0"/>
    </xf>
    <xf numFmtId="38" fontId="10" fillId="0" borderId="37" xfId="5" applyFont="1" applyFill="1" applyBorder="1" applyAlignment="1" applyProtection="1">
      <alignment horizontal="right"/>
      <protection locked="0"/>
    </xf>
    <xf numFmtId="6" fontId="10" fillId="5" borderId="37" xfId="5" applyNumberFormat="1" applyFont="1" applyFill="1" applyBorder="1" applyAlignment="1" applyProtection="1">
      <alignment horizontal="right"/>
      <protection locked="0"/>
    </xf>
    <xf numFmtId="6" fontId="11" fillId="5" borderId="47" xfId="5" applyNumberFormat="1" applyFont="1" applyFill="1" applyBorder="1" applyAlignment="1" applyProtection="1">
      <alignment horizontal="right"/>
      <protection locked="0"/>
    </xf>
    <xf numFmtId="6" fontId="11" fillId="5" borderId="6" xfId="2" applyFont="1" applyFill="1" applyBorder="1" applyProtection="1">
      <protection locked="0"/>
    </xf>
    <xf numFmtId="38" fontId="11" fillId="0" borderId="33" xfId="5" applyFont="1" applyFill="1" applyBorder="1" applyProtection="1">
      <protection locked="0"/>
    </xf>
    <xf numFmtId="169" fontId="11" fillId="5" borderId="41" xfId="5" applyNumberFormat="1" applyFont="1" applyFill="1" applyBorder="1" applyAlignment="1" applyProtection="1">
      <alignment horizontal="right"/>
      <protection locked="0"/>
    </xf>
    <xf numFmtId="38" fontId="10" fillId="2" borderId="0" xfId="5" applyFont="1" applyFill="1" applyProtection="1">
      <protection locked="0"/>
    </xf>
    <xf numFmtId="38" fontId="10" fillId="2" borderId="0" xfId="5" applyFont="1" applyFill="1" applyAlignment="1" applyProtection="1">
      <alignment horizontal="right"/>
      <protection locked="0"/>
    </xf>
    <xf numFmtId="38" fontId="11" fillId="0" borderId="33" xfId="5" applyFont="1" applyFill="1" applyBorder="1" applyAlignment="1" applyProtection="1">
      <alignment horizontal="left"/>
      <protection locked="0"/>
    </xf>
    <xf numFmtId="6" fontId="11" fillId="5" borderId="41" xfId="5" applyNumberFormat="1" applyFont="1" applyFill="1" applyBorder="1" applyAlignment="1" applyProtection="1">
      <alignment horizontal="right"/>
      <protection locked="0"/>
    </xf>
    <xf numFmtId="38" fontId="14" fillId="2" borderId="30" xfId="5" applyFont="1" applyFill="1" applyBorder="1" applyProtection="1">
      <protection locked="0"/>
    </xf>
    <xf numFmtId="6" fontId="14" fillId="2" borderId="24" xfId="5" applyNumberFormat="1" applyFont="1" applyFill="1" applyBorder="1" applyAlignment="1" applyProtection="1">
      <alignment horizontal="right"/>
      <protection locked="0"/>
    </xf>
    <xf numFmtId="0" fontId="11" fillId="0" borderId="0" xfId="0" applyFont="1" applyProtection="1">
      <protection locked="0"/>
    </xf>
    <xf numFmtId="38" fontId="11" fillId="0" borderId="0" xfId="5" applyFont="1" applyAlignment="1" applyProtection="1">
      <alignment horizontal="right"/>
    </xf>
    <xf numFmtId="164" fontId="10" fillId="0" borderId="0" xfId="5" applyNumberFormat="1" applyFont="1" applyAlignment="1" applyProtection="1">
      <alignment horizontal="right"/>
    </xf>
    <xf numFmtId="38" fontId="10" fillId="0" borderId="0" xfId="5" applyFont="1" applyFill="1" applyBorder="1" applyAlignment="1" applyProtection="1">
      <alignment horizontal="left" wrapText="1"/>
    </xf>
    <xf numFmtId="6" fontId="22" fillId="0" borderId="0" xfId="5" applyNumberFormat="1" applyFont="1" applyFill="1" applyBorder="1" applyAlignment="1" applyProtection="1">
      <alignment horizontal="right"/>
    </xf>
    <xf numFmtId="0" fontId="10" fillId="0" borderId="0" xfId="0" applyFont="1" applyFill="1" applyBorder="1" applyAlignment="1"/>
    <xf numFmtId="5" fontId="11" fillId="0" borderId="0" xfId="5" applyNumberFormat="1" applyFont="1" applyFill="1" applyBorder="1" applyAlignment="1" applyProtection="1">
      <alignment horizontal="right"/>
    </xf>
    <xf numFmtId="6" fontId="11" fillId="5" borderId="37" xfId="5" applyNumberFormat="1" applyFont="1" applyFill="1" applyBorder="1" applyAlignment="1" applyProtection="1">
      <alignment horizontal="right"/>
      <protection locked="0"/>
    </xf>
    <xf numFmtId="164" fontId="11" fillId="0" borderId="13" xfId="5" applyNumberFormat="1" applyFont="1" applyFill="1" applyBorder="1" applyAlignment="1" applyProtection="1">
      <alignment horizontal="right"/>
    </xf>
    <xf numFmtId="38" fontId="11" fillId="0" borderId="30" xfId="5" applyFont="1" applyFill="1" applyBorder="1" applyProtection="1">
      <protection locked="0"/>
    </xf>
    <xf numFmtId="6" fontId="11" fillId="5" borderId="34" xfId="5" applyNumberFormat="1" applyFont="1" applyFill="1" applyBorder="1" applyAlignment="1" applyProtection="1">
      <alignment horizontal="right"/>
      <protection locked="0"/>
    </xf>
    <xf numFmtId="38" fontId="10" fillId="5" borderId="0" xfId="5" applyFont="1" applyFill="1" applyAlignment="1" applyProtection="1">
      <alignment horizontal="right"/>
      <protection locked="0"/>
    </xf>
    <xf numFmtId="38" fontId="11" fillId="4" borderId="30" xfId="5" applyFont="1" applyFill="1" applyBorder="1" applyProtection="1">
      <protection locked="0"/>
    </xf>
    <xf numFmtId="6" fontId="11" fillId="4" borderId="34" xfId="5" applyNumberFormat="1" applyFont="1" applyFill="1" applyBorder="1" applyAlignment="1" applyProtection="1">
      <alignment horizontal="right"/>
      <protection locked="0"/>
    </xf>
    <xf numFmtId="38" fontId="20" fillId="0" borderId="0" xfId="5" applyFont="1" applyFill="1" applyAlignment="1" applyProtection="1">
      <alignment horizontal="left"/>
      <protection locked="0"/>
    </xf>
    <xf numFmtId="38" fontId="20" fillId="0" borderId="0" xfId="5" applyFont="1" applyFill="1" applyBorder="1" applyAlignment="1" applyProtection="1">
      <alignment horizontal="right"/>
      <protection locked="0"/>
    </xf>
    <xf numFmtId="38" fontId="23" fillId="0" borderId="0" xfId="5" applyFont="1" applyFill="1" applyAlignment="1" applyProtection="1">
      <alignment horizontal="right"/>
      <protection locked="0"/>
    </xf>
    <xf numFmtId="38" fontId="24" fillId="0" borderId="0" xfId="5" applyFont="1" applyFill="1" applyAlignment="1" applyProtection="1">
      <alignment horizontal="left"/>
      <protection locked="0"/>
    </xf>
    <xf numFmtId="38" fontId="25" fillId="0" borderId="0" xfId="5" applyFont="1" applyFill="1" applyAlignment="1" applyProtection="1">
      <alignment horizontal="left"/>
      <protection locked="0"/>
    </xf>
    <xf numFmtId="38" fontId="18" fillId="2" borderId="1" xfId="5" applyFont="1" applyFill="1" applyBorder="1" applyAlignment="1" applyProtection="1">
      <alignment horizontal="left"/>
      <protection locked="0"/>
    </xf>
    <xf numFmtId="38" fontId="18" fillId="2" borderId="4" xfId="5" applyFont="1" applyFill="1" applyBorder="1" applyAlignment="1" applyProtection="1">
      <alignment horizontal="left"/>
      <protection locked="0"/>
    </xf>
    <xf numFmtId="0" fontId="14" fillId="2" borderId="4" xfId="0" applyFont="1" applyFill="1" applyBorder="1" applyAlignment="1">
      <alignment horizontal="right"/>
    </xf>
    <xf numFmtId="0" fontId="18" fillId="2" borderId="2" xfId="0" applyFont="1" applyFill="1" applyBorder="1" applyAlignment="1">
      <alignment horizontal="right"/>
    </xf>
    <xf numFmtId="38" fontId="10" fillId="5" borderId="6" xfId="0" applyNumberFormat="1" applyFont="1" applyFill="1" applyBorder="1" applyAlignment="1">
      <alignment horizontal="right"/>
    </xf>
    <xf numFmtId="38" fontId="10" fillId="4" borderId="6" xfId="0" applyNumberFormat="1" applyFont="1" applyFill="1" applyBorder="1" applyAlignment="1">
      <alignment horizontal="right"/>
    </xf>
    <xf numFmtId="169" fontId="10" fillId="5" borderId="6" xfId="0" applyNumberFormat="1" applyFont="1" applyFill="1" applyBorder="1" applyAlignment="1">
      <alignment horizontal="right"/>
    </xf>
    <xf numFmtId="169" fontId="10" fillId="4" borderId="6" xfId="0" applyNumberFormat="1" applyFont="1" applyFill="1" applyBorder="1" applyAlignment="1">
      <alignment horizontal="right"/>
    </xf>
    <xf numFmtId="169" fontId="10" fillId="5" borderId="7" xfId="0" applyNumberFormat="1" applyFont="1" applyFill="1" applyBorder="1" applyAlignment="1">
      <alignment horizontal="right"/>
    </xf>
    <xf numFmtId="169" fontId="10" fillId="4" borderId="7" xfId="0" applyNumberFormat="1" applyFont="1" applyFill="1" applyBorder="1" applyAlignment="1">
      <alignment horizontal="right"/>
    </xf>
    <xf numFmtId="169" fontId="11" fillId="5" borderId="8" xfId="0" applyNumberFormat="1" applyFont="1" applyFill="1" applyBorder="1" applyAlignment="1">
      <alignment horizontal="right"/>
    </xf>
    <xf numFmtId="169" fontId="11" fillId="4" borderId="8" xfId="0" applyNumberFormat="1" applyFont="1" applyFill="1" applyBorder="1" applyAlignment="1">
      <alignment horizontal="right"/>
    </xf>
    <xf numFmtId="0" fontId="18" fillId="2" borderId="1" xfId="0" applyFont="1" applyFill="1" applyBorder="1"/>
    <xf numFmtId="0" fontId="18" fillId="2" borderId="4" xfId="0" applyFont="1" applyFill="1" applyBorder="1"/>
    <xf numFmtId="6" fontId="10" fillId="5" borderId="6" xfId="0" applyNumberFormat="1" applyFont="1" applyFill="1" applyBorder="1" applyAlignment="1">
      <alignment horizontal="right"/>
    </xf>
    <xf numFmtId="6" fontId="10" fillId="4" borderId="6" xfId="0" applyNumberFormat="1" applyFont="1" applyFill="1" applyBorder="1" applyAlignment="1">
      <alignment horizontal="right"/>
    </xf>
    <xf numFmtId="6" fontId="10" fillId="5" borderId="7" xfId="0" applyNumberFormat="1" applyFont="1" applyFill="1" applyBorder="1" applyAlignment="1">
      <alignment horizontal="right"/>
    </xf>
    <xf numFmtId="6" fontId="10" fillId="4" borderId="7" xfId="0" applyNumberFormat="1" applyFont="1" applyFill="1" applyBorder="1" applyAlignment="1">
      <alignment horizontal="right"/>
    </xf>
    <xf numFmtId="0" fontId="11" fillId="0" borderId="10" xfId="0" applyFont="1" applyBorder="1"/>
    <xf numFmtId="0" fontId="11" fillId="0" borderId="19" xfId="0" applyFont="1" applyBorder="1"/>
    <xf numFmtId="6" fontId="11" fillId="5" borderId="8" xfId="0" applyNumberFormat="1" applyFont="1" applyFill="1" applyBorder="1" applyAlignment="1">
      <alignment horizontal="right"/>
    </xf>
    <xf numFmtId="6" fontId="11" fillId="4" borderId="8" xfId="0" applyNumberFormat="1" applyFont="1" applyFill="1" applyBorder="1" applyAlignment="1">
      <alignment horizontal="right"/>
    </xf>
    <xf numFmtId="0" fontId="11" fillId="0" borderId="13" xfId="0" applyFont="1" applyBorder="1"/>
    <xf numFmtId="6" fontId="11" fillId="5" borderId="6" xfId="0" applyNumberFormat="1" applyFont="1" applyFill="1" applyBorder="1" applyAlignment="1">
      <alignment horizontal="right"/>
    </xf>
    <xf numFmtId="6" fontId="11" fillId="4" borderId="6" xfId="0" applyNumberFormat="1" applyFont="1" applyFill="1" applyBorder="1" applyAlignment="1">
      <alignment horizontal="right"/>
    </xf>
    <xf numFmtId="6" fontId="10" fillId="0" borderId="0" xfId="0" applyNumberFormat="1" applyFont="1" applyAlignment="1">
      <alignment horizontal="right"/>
    </xf>
    <xf numFmtId="0" fontId="20" fillId="0" borderId="0" xfId="0" applyFont="1" applyFill="1" applyBorder="1"/>
    <xf numFmtId="0" fontId="26" fillId="0" borderId="0" xfId="0" applyFont="1" applyFill="1" applyBorder="1"/>
    <xf numFmtId="6" fontId="10" fillId="0" borderId="0" xfId="0" applyNumberFormat="1" applyFont="1" applyFill="1" applyBorder="1" applyAlignment="1">
      <alignment horizontal="right"/>
    </xf>
    <xf numFmtId="6" fontId="27" fillId="0" borderId="0" xfId="0" applyNumberFormat="1" applyFont="1" applyFill="1" applyBorder="1" applyAlignment="1">
      <alignment horizontal="right"/>
    </xf>
    <xf numFmtId="38" fontId="11" fillId="0" borderId="0" xfId="0" applyNumberFormat="1" applyFont="1" applyFill="1" applyBorder="1" applyAlignment="1">
      <alignment horizontal="right"/>
    </xf>
    <xf numFmtId="38" fontId="10" fillId="0" borderId="0" xfId="0" applyNumberFormat="1" applyFont="1" applyFill="1" applyBorder="1" applyAlignment="1">
      <alignment horizontal="right"/>
    </xf>
    <xf numFmtId="38" fontId="10" fillId="0" borderId="0" xfId="0" applyNumberFormat="1" applyFont="1" applyProtection="1">
      <protection locked="0"/>
    </xf>
    <xf numFmtId="164" fontId="10" fillId="0" borderId="0" xfId="0" applyNumberFormat="1" applyFont="1" applyAlignment="1" applyProtection="1">
      <alignment horizontal="right"/>
      <protection locked="0"/>
    </xf>
    <xf numFmtId="38" fontId="11" fillId="0" borderId="0" xfId="5" applyFont="1" applyFill="1" applyAlignment="1" applyProtection="1">
      <alignment horizontal="center"/>
      <protection locked="0"/>
    </xf>
    <xf numFmtId="38" fontId="14" fillId="2" borderId="1" xfId="5" applyFont="1" applyFill="1" applyBorder="1" applyProtection="1">
      <protection locked="0"/>
    </xf>
    <xf numFmtId="38" fontId="10" fillId="2" borderId="2" xfId="5" applyFont="1" applyFill="1" applyBorder="1" applyProtection="1">
      <protection locked="0"/>
    </xf>
    <xf numFmtId="38" fontId="11" fillId="0" borderId="10" xfId="5" applyFont="1" applyFill="1" applyBorder="1" applyProtection="1">
      <protection locked="0"/>
    </xf>
    <xf numFmtId="165" fontId="11" fillId="5" borderId="6" xfId="2" applyNumberFormat="1" applyFont="1" applyFill="1" applyBorder="1" applyProtection="1"/>
    <xf numFmtId="3" fontId="10" fillId="5" borderId="6" xfId="0" applyNumberFormat="1" applyFont="1" applyFill="1" applyBorder="1" applyAlignment="1">
      <alignment horizontal="right"/>
    </xf>
    <xf numFmtId="0" fontId="10" fillId="0" borderId="10" xfId="0" applyFont="1" applyBorder="1" applyAlignment="1"/>
    <xf numFmtId="164" fontId="10" fillId="2" borderId="4" xfId="5" applyNumberFormat="1" applyFont="1" applyFill="1" applyBorder="1" applyAlignment="1" applyProtection="1">
      <alignment horizontal="right"/>
      <protection locked="0"/>
    </xf>
    <xf numFmtId="166" fontId="10" fillId="5" borderId="6" xfId="2" applyNumberFormat="1" applyFont="1" applyFill="1" applyBorder="1" applyAlignment="1" applyProtection="1">
      <alignment horizontal="right"/>
      <protection locked="0"/>
    </xf>
    <xf numFmtId="7" fontId="10" fillId="5" borderId="6" xfId="5" applyNumberFormat="1" applyFont="1" applyFill="1" applyBorder="1" applyAlignment="1" applyProtection="1">
      <alignment horizontal="right"/>
      <protection locked="0"/>
    </xf>
    <xf numFmtId="7" fontId="10" fillId="0" borderId="0" xfId="5" applyNumberFormat="1" applyFont="1" applyFill="1" applyBorder="1" applyAlignment="1" applyProtection="1">
      <alignment horizontal="left"/>
      <protection locked="0"/>
    </xf>
    <xf numFmtId="38" fontId="14" fillId="2" borderId="4" xfId="5" applyFont="1" applyFill="1" applyBorder="1" applyAlignment="1" applyProtection="1">
      <alignment horizontal="center"/>
      <protection locked="0"/>
    </xf>
    <xf numFmtId="38" fontId="14" fillId="2" borderId="2" xfId="5" applyFont="1" applyFill="1" applyBorder="1" applyProtection="1">
      <protection locked="0"/>
    </xf>
    <xf numFmtId="170" fontId="10" fillId="5" borderId="49" xfId="5" applyNumberFormat="1" applyFont="1" applyFill="1" applyBorder="1" applyAlignment="1" applyProtection="1">
      <alignment horizontal="right"/>
      <protection locked="0"/>
    </xf>
    <xf numFmtId="38" fontId="10" fillId="0" borderId="25" xfId="5" applyFont="1" applyBorder="1" applyProtection="1">
      <protection locked="0"/>
    </xf>
    <xf numFmtId="38" fontId="10" fillId="0" borderId="26" xfId="5" applyFont="1" applyBorder="1" applyProtection="1">
      <protection locked="0"/>
    </xf>
    <xf numFmtId="169" fontId="10" fillId="5" borderId="7" xfId="5" applyNumberFormat="1" applyFont="1" applyFill="1" applyBorder="1" applyAlignment="1" applyProtection="1">
      <alignment horizontal="right"/>
      <protection locked="0"/>
    </xf>
    <xf numFmtId="166" fontId="10" fillId="0" borderId="3" xfId="5" applyNumberFormat="1" applyFont="1" applyBorder="1" applyProtection="1">
      <protection locked="0"/>
    </xf>
    <xf numFmtId="38" fontId="10" fillId="0" borderId="27" xfId="5" applyFont="1" applyBorder="1" applyProtection="1">
      <protection locked="0"/>
    </xf>
    <xf numFmtId="169" fontId="11" fillId="5" borderId="50" xfId="5" applyNumberFormat="1" applyFont="1" applyFill="1" applyBorder="1" applyAlignment="1" applyProtection="1">
      <alignment horizontal="right"/>
      <protection locked="0"/>
    </xf>
    <xf numFmtId="166" fontId="11" fillId="5" borderId="51" xfId="5" applyNumberFormat="1" applyFont="1" applyFill="1" applyBorder="1" applyProtection="1">
      <protection locked="0"/>
    </xf>
    <xf numFmtId="0" fontId="11" fillId="5" borderId="47" xfId="5" applyNumberFormat="1" applyFont="1" applyFill="1" applyBorder="1" applyProtection="1">
      <protection locked="0"/>
    </xf>
    <xf numFmtId="166" fontId="10" fillId="0" borderId="25" xfId="5" applyNumberFormat="1" applyFont="1" applyBorder="1" applyProtection="1">
      <protection locked="0"/>
    </xf>
    <xf numFmtId="169" fontId="10" fillId="0" borderId="26" xfId="5" applyNumberFormat="1" applyFont="1" applyBorder="1" applyProtection="1">
      <protection locked="0"/>
    </xf>
    <xf numFmtId="166" fontId="10" fillId="5" borderId="7" xfId="2" applyNumberFormat="1" applyFont="1" applyFill="1" applyBorder="1" applyAlignment="1" applyProtection="1">
      <alignment horizontal="right"/>
      <protection locked="0"/>
    </xf>
    <xf numFmtId="7" fontId="10" fillId="5" borderId="7" xfId="5" applyNumberFormat="1" applyFont="1" applyFill="1" applyBorder="1" applyAlignment="1" applyProtection="1">
      <alignment horizontal="right"/>
      <protection locked="0"/>
    </xf>
    <xf numFmtId="169" fontId="10" fillId="0" borderId="27" xfId="5" applyNumberFormat="1" applyFont="1" applyBorder="1" applyProtection="1">
      <protection locked="0"/>
    </xf>
    <xf numFmtId="0" fontId="11" fillId="0" borderId="20" xfId="0" applyFont="1" applyBorder="1"/>
    <xf numFmtId="166" fontId="11" fillId="5" borderId="6" xfId="2" applyNumberFormat="1" applyFont="1" applyFill="1" applyBorder="1" applyAlignment="1" applyProtection="1">
      <alignment horizontal="right"/>
      <protection locked="0"/>
    </xf>
    <xf numFmtId="7" fontId="11" fillId="5" borderId="6" xfId="5" applyNumberFormat="1" applyFont="1" applyFill="1" applyBorder="1" applyAlignment="1" applyProtection="1">
      <alignment horizontal="right"/>
      <protection locked="0"/>
    </xf>
    <xf numFmtId="164" fontId="10" fillId="0" borderId="0" xfId="5" applyNumberFormat="1" applyFont="1" applyFill="1" applyAlignment="1" applyProtection="1">
      <alignment horizontal="right"/>
    </xf>
    <xf numFmtId="6" fontId="11" fillId="4" borderId="34" xfId="5" applyNumberFormat="1" applyFont="1" applyFill="1" applyBorder="1" applyProtection="1">
      <protection locked="0"/>
    </xf>
    <xf numFmtId="166" fontId="11" fillId="4" borderId="39" xfId="5" applyNumberFormat="1" applyFont="1" applyFill="1" applyBorder="1" applyProtection="1">
      <protection locked="0"/>
    </xf>
    <xf numFmtId="165" fontId="11" fillId="4" borderId="34" xfId="5" applyNumberFormat="1" applyFont="1" applyFill="1" applyBorder="1" applyProtection="1">
      <protection locked="0"/>
    </xf>
    <xf numFmtId="38" fontId="10" fillId="2" borderId="5" xfId="5" applyFont="1" applyFill="1" applyBorder="1" applyProtection="1">
      <protection locked="0"/>
    </xf>
    <xf numFmtId="166" fontId="11" fillId="5" borderId="50" xfId="5" applyNumberFormat="1" applyFont="1" applyFill="1" applyBorder="1" applyProtection="1">
      <protection locked="0"/>
    </xf>
    <xf numFmtId="0" fontId="11" fillId="5" borderId="41" xfId="5" applyNumberFormat="1" applyFont="1" applyFill="1" applyBorder="1" applyProtection="1">
      <protection locked="0"/>
    </xf>
    <xf numFmtId="166" fontId="10" fillId="0" borderId="0" xfId="5" applyNumberFormat="1" applyFont="1" applyBorder="1" applyProtection="1">
      <protection locked="0"/>
    </xf>
    <xf numFmtId="169" fontId="10" fillId="0" borderId="28" xfId="5" applyNumberFormat="1" applyFont="1" applyBorder="1" applyProtection="1">
      <protection locked="0"/>
    </xf>
    <xf numFmtId="169" fontId="11" fillId="4" borderId="39" xfId="5" applyNumberFormat="1" applyFont="1" applyFill="1" applyBorder="1" applyAlignment="1" applyProtection="1">
      <alignment horizontal="right"/>
      <protection locked="0"/>
    </xf>
    <xf numFmtId="38" fontId="18" fillId="2" borderId="29" xfId="5" applyFont="1" applyFill="1" applyBorder="1" applyProtection="1">
      <protection locked="0"/>
    </xf>
    <xf numFmtId="166" fontId="14" fillId="2" borderId="0" xfId="5" applyNumberFormat="1" applyFont="1" applyFill="1" applyProtection="1">
      <protection locked="0"/>
    </xf>
    <xf numFmtId="8" fontId="14" fillId="2" borderId="0" xfId="5" applyNumberFormat="1" applyFont="1" applyFill="1" applyProtection="1">
      <protection locked="0"/>
    </xf>
    <xf numFmtId="38" fontId="11" fillId="0" borderId="0" xfId="0" applyNumberFormat="1" applyFont="1" applyProtection="1">
      <protection locked="0"/>
    </xf>
    <xf numFmtId="38" fontId="10" fillId="5" borderId="6" xfId="5" applyFont="1" applyFill="1" applyBorder="1" applyProtection="1">
      <protection locked="0"/>
    </xf>
    <xf numFmtId="6" fontId="10" fillId="5" borderId="6" xfId="5" applyNumberFormat="1" applyFont="1" applyFill="1" applyBorder="1" applyProtection="1">
      <protection locked="0"/>
    </xf>
    <xf numFmtId="8" fontId="10" fillId="5" borderId="6" xfId="5" applyNumberFormat="1" applyFont="1" applyFill="1" applyBorder="1" applyProtection="1">
      <protection locked="0"/>
    </xf>
    <xf numFmtId="166" fontId="11" fillId="5" borderId="8" xfId="2" applyNumberFormat="1" applyFont="1" applyFill="1" applyBorder="1" applyAlignment="1" applyProtection="1">
      <alignment horizontal="right"/>
      <protection locked="0"/>
    </xf>
    <xf numFmtId="7" fontId="10" fillId="5" borderId="8" xfId="5" applyNumberFormat="1" applyFont="1" applyFill="1" applyBorder="1" applyAlignment="1" applyProtection="1">
      <alignment horizontal="right"/>
      <protection locked="0"/>
    </xf>
    <xf numFmtId="166" fontId="11" fillId="5" borderId="48" xfId="2" applyNumberFormat="1" applyFont="1" applyFill="1" applyBorder="1" applyAlignment="1" applyProtection="1">
      <alignment horizontal="right"/>
      <protection locked="0"/>
    </xf>
    <xf numFmtId="6" fontId="11" fillId="5" borderId="6" xfId="2" applyNumberFormat="1" applyFont="1" applyFill="1" applyBorder="1" applyProtection="1"/>
    <xf numFmtId="38" fontId="16" fillId="0" borderId="36" xfId="5" applyFont="1" applyBorder="1" applyAlignment="1" applyProtection="1">
      <alignment horizontal="left" indent="1"/>
      <protection locked="0"/>
    </xf>
    <xf numFmtId="38" fontId="10" fillId="0" borderId="0" xfId="5" applyFont="1" applyAlignment="1" applyProtection="1">
      <alignment horizontal="left" indent="1"/>
      <protection locked="0"/>
    </xf>
    <xf numFmtId="0" fontId="11" fillId="0" borderId="10" xfId="0" applyFont="1" applyBorder="1" applyAlignment="1">
      <alignment horizontal="left"/>
    </xf>
    <xf numFmtId="0" fontId="10" fillId="0" borderId="13" xfId="0" applyFont="1" applyBorder="1" applyAlignment="1"/>
    <xf numFmtId="0" fontId="10" fillId="0" borderId="13" xfId="0" applyFont="1" applyBorder="1" applyAlignment="1">
      <alignment horizontal="left"/>
    </xf>
    <xf numFmtId="38" fontId="11" fillId="0" borderId="0" xfId="5" applyFont="1" applyFill="1" applyAlignment="1" applyProtection="1">
      <alignment horizontal="center"/>
      <protection locked="0"/>
    </xf>
    <xf numFmtId="0" fontId="14" fillId="2" borderId="1" xfId="0" applyFont="1" applyFill="1" applyBorder="1" applyAlignment="1">
      <alignment vertical="center"/>
    </xf>
    <xf numFmtId="0" fontId="10" fillId="2" borderId="4" xfId="0" applyFont="1" applyFill="1" applyBorder="1" applyAlignment="1">
      <alignment vertical="center"/>
    </xf>
    <xf numFmtId="3" fontId="14" fillId="2" borderId="1" xfId="0" applyNumberFormat="1" applyFont="1" applyFill="1" applyBorder="1" applyAlignment="1">
      <alignment horizontal="left" vertical="center"/>
    </xf>
    <xf numFmtId="0" fontId="10" fillId="0" borderId="4" xfId="0" applyFont="1" applyBorder="1" applyAlignment="1">
      <alignment vertical="center"/>
    </xf>
    <xf numFmtId="0" fontId="10" fillId="0" borderId="11" xfId="0" applyFont="1" applyBorder="1" applyAlignment="1"/>
    <xf numFmtId="0" fontId="11" fillId="0" borderId="10" xfId="0" applyFont="1" applyFill="1" applyBorder="1" applyAlignment="1"/>
    <xf numFmtId="0" fontId="11" fillId="0" borderId="10" xfId="0" applyFont="1" applyBorder="1" applyAlignment="1"/>
    <xf numFmtId="0" fontId="10" fillId="0" borderId="5" xfId="0" applyFont="1" applyBorder="1" applyAlignment="1"/>
    <xf numFmtId="0" fontId="10" fillId="0" borderId="0" xfId="0" applyFont="1" applyAlignment="1"/>
    <xf numFmtId="0" fontId="10" fillId="0" borderId="15" xfId="0" applyFont="1" applyBorder="1" applyAlignment="1"/>
    <xf numFmtId="173" fontId="11" fillId="0" borderId="14" xfId="5" applyNumberFormat="1" applyFont="1" applyFill="1" applyBorder="1" applyAlignment="1" applyProtection="1">
      <alignment horizontal="left"/>
      <protection locked="0"/>
    </xf>
    <xf numFmtId="38" fontId="11" fillId="0" borderId="0" xfId="5" applyFont="1" applyFill="1" applyAlignment="1" applyProtection="1">
      <alignment horizontal="left"/>
      <protection locked="0"/>
    </xf>
    <xf numFmtId="0" fontId="14" fillId="2" borderId="1" xfId="0" applyFont="1" applyFill="1" applyBorder="1" applyAlignment="1"/>
    <xf numFmtId="0" fontId="10" fillId="0" borderId="4" xfId="0" applyFont="1" applyBorder="1" applyAlignment="1"/>
    <xf numFmtId="0" fontId="11" fillId="0" borderId="10" xfId="5" applyNumberFormat="1" applyFont="1" applyFill="1" applyBorder="1" applyAlignment="1" applyProtection="1">
      <alignment horizontal="left"/>
      <protection locked="0"/>
    </xf>
    <xf numFmtId="0" fontId="11" fillId="0" borderId="14" xfId="5" applyNumberFormat="1" applyFont="1" applyFill="1" applyBorder="1" applyAlignment="1" applyProtection="1">
      <alignment horizontal="left"/>
      <protection locked="0"/>
    </xf>
    <xf numFmtId="38" fontId="11" fillId="3" borderId="0" xfId="5" applyFont="1" applyFill="1" applyAlignment="1" applyProtection="1">
      <alignment horizontal="left"/>
      <protection locked="0"/>
    </xf>
    <xf numFmtId="0" fontId="10" fillId="3" borderId="0" xfId="0" applyFont="1" applyFill="1" applyAlignment="1"/>
    <xf numFmtId="0" fontId="10" fillId="0" borderId="3" xfId="0" applyFont="1" applyBorder="1" applyAlignment="1"/>
    <xf numFmtId="0" fontId="10" fillId="0" borderId="17" xfId="0" applyFont="1" applyBorder="1" applyAlignment="1"/>
    <xf numFmtId="38" fontId="16" fillId="0" borderId="36" xfId="5" applyFont="1" applyBorder="1" applyAlignment="1" applyProtection="1">
      <alignment horizontal="center"/>
      <protection locked="0"/>
    </xf>
    <xf numFmtId="38" fontId="10" fillId="0" borderId="0" xfId="5" applyFont="1" applyAlignment="1" applyProtection="1">
      <alignment horizontal="center"/>
      <protection locked="0"/>
    </xf>
    <xf numFmtId="38" fontId="11" fillId="0" borderId="53" xfId="5" applyFont="1" applyFill="1" applyBorder="1" applyAlignment="1" applyProtection="1">
      <alignment horizontal="left"/>
      <protection locked="0"/>
    </xf>
    <xf numFmtId="38" fontId="11" fillId="0" borderId="54" xfId="5" applyFont="1" applyFill="1" applyBorder="1" applyAlignment="1" applyProtection="1">
      <alignment horizontal="left"/>
      <protection locked="0"/>
    </xf>
    <xf numFmtId="38" fontId="11" fillId="0" borderId="10" xfId="5" applyFont="1" applyFill="1" applyBorder="1" applyAlignment="1" applyProtection="1">
      <alignment horizontal="left"/>
      <protection locked="0"/>
    </xf>
    <xf numFmtId="38" fontId="11" fillId="0" borderId="20" xfId="5" applyFont="1" applyFill="1" applyBorder="1" applyAlignment="1" applyProtection="1">
      <alignment horizontal="left"/>
      <protection locked="0"/>
    </xf>
    <xf numFmtId="38" fontId="11" fillId="0" borderId="19" xfId="5" applyFont="1" applyFill="1" applyBorder="1" applyAlignment="1" applyProtection="1">
      <alignment horizontal="left"/>
      <protection locked="0"/>
    </xf>
    <xf numFmtId="38" fontId="14" fillId="2" borderId="1" xfId="5" applyFont="1" applyFill="1" applyBorder="1" applyAlignment="1" applyProtection="1">
      <alignment horizontal="left"/>
      <protection locked="0"/>
    </xf>
    <xf numFmtId="38" fontId="14" fillId="2" borderId="4" xfId="5" applyFont="1" applyFill="1" applyBorder="1" applyAlignment="1" applyProtection="1">
      <alignment horizontal="left"/>
      <protection locked="0"/>
    </xf>
    <xf numFmtId="38" fontId="10" fillId="0" borderId="0" xfId="5" applyFont="1" applyFill="1" applyBorder="1" applyAlignment="1" applyProtection="1">
      <alignment horizontal="left" wrapText="1"/>
      <protection locked="0"/>
    </xf>
    <xf numFmtId="38" fontId="10" fillId="0" borderId="0" xfId="5" applyFont="1" applyFill="1" applyBorder="1" applyAlignment="1" applyProtection="1">
      <alignment horizontal="right" vertical="top" wrapText="1"/>
      <protection locked="0"/>
    </xf>
    <xf numFmtId="0" fontId="10" fillId="0" borderId="0" xfId="0" applyFont="1" applyAlignment="1">
      <alignment horizontal="right"/>
    </xf>
    <xf numFmtId="38" fontId="14" fillId="2" borderId="52" xfId="5"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10" fillId="0" borderId="19" xfId="0" applyFont="1" applyBorder="1" applyAlignment="1">
      <alignment horizontal="left"/>
    </xf>
    <xf numFmtId="38" fontId="19" fillId="2" borderId="52" xfId="5" applyFont="1" applyFill="1" applyBorder="1" applyAlignment="1" applyProtection="1">
      <alignment horizontal="left"/>
      <protection locked="0"/>
    </xf>
    <xf numFmtId="38" fontId="19" fillId="2" borderId="4" xfId="5" applyFont="1" applyFill="1" applyBorder="1" applyAlignment="1" applyProtection="1">
      <alignment horizontal="left"/>
      <protection locked="0"/>
    </xf>
    <xf numFmtId="0" fontId="10" fillId="0" borderId="0" xfId="0" applyFont="1" applyBorder="1" applyAlignment="1">
      <alignment shrinkToFit="1"/>
    </xf>
    <xf numFmtId="0" fontId="10" fillId="0" borderId="10" xfId="0" applyFont="1" applyBorder="1" applyAlignment="1"/>
    <xf numFmtId="0" fontId="10" fillId="0" borderId="0" xfId="0" applyFont="1" applyBorder="1" applyAlignment="1"/>
    <xf numFmtId="38" fontId="11" fillId="0" borderId="20" xfId="0" applyNumberFormat="1" applyFont="1" applyBorder="1" applyAlignment="1"/>
    <xf numFmtId="0" fontId="11" fillId="0" borderId="19" xfId="0" applyFont="1" applyBorder="1" applyAlignment="1"/>
    <xf numFmtId="0" fontId="10" fillId="0" borderId="0" xfId="0" applyFont="1"/>
    <xf numFmtId="0" fontId="10" fillId="0" borderId="0" xfId="0" applyFont="1" applyBorder="1"/>
    <xf numFmtId="0" fontId="10" fillId="0" borderId="4" xfId="0" applyFont="1" applyBorder="1" applyAlignment="1">
      <alignment horizontal="left"/>
    </xf>
  </cellXfs>
  <cellStyles count="9">
    <cellStyle name="Comma" xfId="1" builtinId="3"/>
    <cellStyle name="Currency_Budget 1 vet" xfId="2"/>
    <cellStyle name="Date" xfId="3"/>
    <cellStyle name="Fixed" xfId="4"/>
    <cellStyle name="Followed Hyperlink" xfId="8" builtinId="9" hidden="1"/>
    <cellStyle name="Hyperlink" xfId="7" builtinId="8" hidden="1"/>
    <cellStyle name="Normal" xfId="0" builtinId="0"/>
    <cellStyle name="Normal_Budget 1 vet" xfId="5"/>
    <cellStyle name="Text" xfId="6"/>
  </cellStyles>
  <dxfs count="2">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C0504D"/>
      <rgbColor rgb="001FB714"/>
      <rgbColor rgb="000000D4"/>
      <rgbColor rgb="00FCF305"/>
      <rgbColor rgb="00F20884"/>
      <rgbColor rgb="0000ABEA"/>
      <rgbColor rgb="00FC473F"/>
      <rgbColor rgb="00006411"/>
      <rgbColor rgb="00000090"/>
      <rgbColor rgb="0090713A"/>
      <rgbColor rgb="008064A2"/>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4F81BD"/>
      <rgbColor rgb="004BACC6"/>
      <rgbColor rgb="009BBB59"/>
      <rgbColor rgb="00FFCC00"/>
      <rgbColor rgb="00F79646"/>
      <rgbColor rgb="00FF6600"/>
      <rgbColor rgb="00666699"/>
      <rgbColor rgb="00808080"/>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2.xml"/><Relationship Id="rId21" Type="http://schemas.openxmlformats.org/officeDocument/2006/relationships/theme" Target="theme/theme1.xml"/><Relationship Id="rId22" Type="http://schemas.openxmlformats.org/officeDocument/2006/relationships/styles" Target="styles.xml"/><Relationship Id="rId23" Type="http://schemas.openxmlformats.org/officeDocument/2006/relationships/sharedStrings" Target="sharedStrings.xml"/><Relationship Id="rId2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externalLink" Target="externalLinks/externalLink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530085</xdr:colOff>
      <xdr:row>8</xdr:row>
      <xdr:rowOff>110436</xdr:rowOff>
    </xdr:from>
    <xdr:to>
      <xdr:col>8</xdr:col>
      <xdr:colOff>0</xdr:colOff>
      <xdr:row>11</xdr:row>
      <xdr:rowOff>121478</xdr:rowOff>
    </xdr:to>
    <xdr:sp macro="" textlink="">
      <xdr:nvSpPr>
        <xdr:cNvPr id="3" name="TextBox 2"/>
        <xdr:cNvSpPr txBox="1"/>
      </xdr:nvSpPr>
      <xdr:spPr>
        <a:xfrm>
          <a:off x="4295911" y="1689653"/>
          <a:ext cx="3390348" cy="5079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0" u="none" strike="noStrike" baseline="0">
              <a:solidFill>
                <a:srgbClr val="000000"/>
              </a:solidFill>
              <a:latin typeface="Helvetica Neue"/>
              <a:ea typeface="Century Gothic"/>
              <a:cs typeface="Helvetica Neue"/>
            </a:rPr>
            <a:t>MUST FILL IN CLINIC INFO IN ORDER FOR THE REST OF THE SPREADSHEET TO WORK PROPERLY. </a:t>
          </a:r>
        </a:p>
      </xdr:txBody>
    </xdr:sp>
    <xdr:clientData/>
  </xdr:twoCellAnchor>
  <xdr:twoCellAnchor>
    <xdr:from>
      <xdr:col>4</xdr:col>
      <xdr:colOff>242957</xdr:colOff>
      <xdr:row>10</xdr:row>
      <xdr:rowOff>22087</xdr:rowOff>
    </xdr:from>
    <xdr:to>
      <xdr:col>4</xdr:col>
      <xdr:colOff>517277</xdr:colOff>
      <xdr:row>10</xdr:row>
      <xdr:rowOff>23675</xdr:rowOff>
    </xdr:to>
    <xdr:cxnSp macro="">
      <xdr:nvCxnSpPr>
        <xdr:cNvPr id="5" name="Straight Arrow Connector 4"/>
        <xdr:cNvCxnSpPr/>
      </xdr:nvCxnSpPr>
      <xdr:spPr>
        <a:xfrm rot="10800000">
          <a:off x="4008783" y="1932609"/>
          <a:ext cx="274320" cy="1588"/>
        </a:xfrm>
        <a:prstGeom prst="straightConnector1">
          <a:avLst/>
        </a:prstGeom>
        <a:ln>
          <a:solidFill>
            <a:schemeClr val="tx1"/>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2</xdr:col>
          <xdr:colOff>1282700</xdr:colOff>
          <xdr:row>6</xdr:row>
          <xdr:rowOff>25400</xdr:rowOff>
        </xdr:to>
        <xdr:sp macro="" textlink="">
          <xdr:nvSpPr>
            <xdr:cNvPr id="35072" name="Check Box 256" hidden="1">
              <a:extLst>
                <a:ext uri="{63B3BB69-23CF-44E3-9099-C40C66FF867C}">
                  <a14:compatExt spid="_x0000_s35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Next day release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xdr:row>
          <xdr:rowOff>0</xdr:rowOff>
        </xdr:from>
        <xdr:to>
          <xdr:col>4</xdr:col>
          <xdr:colOff>571500</xdr:colOff>
          <xdr:row>6</xdr:row>
          <xdr:rowOff>25400</xdr:rowOff>
        </xdr:to>
        <xdr:sp macro="" textlink="">
          <xdr:nvSpPr>
            <xdr:cNvPr id="35083" name="Check Box 267" hidden="1">
              <a:extLst>
                <a:ext uri="{63B3BB69-23CF-44E3-9099-C40C66FF867C}">
                  <a14:compatExt spid="_x0000_s35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Same day release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596900</xdr:colOff>
          <xdr:row>4</xdr:row>
          <xdr:rowOff>152400</xdr:rowOff>
        </xdr:from>
        <xdr:to>
          <xdr:col>5</xdr:col>
          <xdr:colOff>469900</xdr:colOff>
          <xdr:row>6</xdr:row>
          <xdr:rowOff>63500</xdr:rowOff>
        </xdr:to>
        <xdr:sp macro="" textlink="">
          <xdr:nvSpPr>
            <xdr:cNvPr id="35087" name="Check Box 271" hidden="1">
              <a:extLst>
                <a:ext uri="{63B3BB69-23CF-44E3-9099-C40C66FF867C}">
                  <a14:compatExt spid="_x0000_s35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Blended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368300</xdr:colOff>
      <xdr:row>7</xdr:row>
      <xdr:rowOff>0</xdr:rowOff>
    </xdr:from>
    <xdr:to>
      <xdr:col>13</xdr:col>
      <xdr:colOff>439420</xdr:colOff>
      <xdr:row>14</xdr:row>
      <xdr:rowOff>109220</xdr:rowOff>
    </xdr:to>
    <xdr:sp macro="" textlink="">
      <xdr:nvSpPr>
        <xdr:cNvPr id="2" name="TextBox 1"/>
        <xdr:cNvSpPr txBox="1"/>
      </xdr:nvSpPr>
      <xdr:spPr>
        <a:xfrm>
          <a:off x="9334500" y="1435100"/>
          <a:ext cx="2204720" cy="1442720"/>
        </a:xfrm>
        <a:prstGeom prst="rect">
          <a:avLst/>
        </a:prstGeom>
        <a:ln>
          <a:solidFill>
            <a:schemeClr val="tx1"/>
          </a:solidFill>
        </a:ln>
      </xdr:spPr>
      <xdr:style>
        <a:lnRef idx="2">
          <a:schemeClr val="accent2"/>
        </a:lnRef>
        <a:fillRef idx="1">
          <a:schemeClr val="lt1"/>
        </a:fillRef>
        <a:effectRef idx="0">
          <a:schemeClr val="accent2"/>
        </a:effectRef>
        <a:fontRef idx="minor">
          <a:schemeClr val="dk1"/>
        </a:fontRef>
      </xdr:style>
      <xdr:txBody>
        <a:bodyPr wrap="square" rtlCol="0" anchor="t"/>
        <a:lstStyle/>
        <a:p>
          <a:pPr algn="l" rtl="0">
            <a:lnSpc>
              <a:spcPts val="1200"/>
            </a:lnSpc>
            <a:defRPr sz="1000"/>
          </a:pPr>
          <a:r>
            <a:rPr lang="en-US" sz="1100" b="0" i="0" u="none" strike="noStrike" baseline="0">
              <a:solidFill>
                <a:srgbClr val="000000"/>
              </a:solidFill>
              <a:latin typeface="Helvetica Neue"/>
              <a:ea typeface="Century Gothic"/>
              <a:cs typeface="Helvetica Neue"/>
            </a:rPr>
            <a:t>IF YOUR CLINIC IS IN OPERATION AND YOU KNOW YOUR AVERAGE SERVICE FEE FILL IN THE AMOUNT HERE. IF NOT, YOU WILL NEED TO COMPLETE ALL OF STEP 1 AND THE AMOUNT WILL BE TRANSFERRED.</a:t>
          </a:r>
        </a:p>
      </xdr:txBody>
    </xdr:sp>
    <xdr:clientData/>
  </xdr:twoCellAnchor>
  <xdr:twoCellAnchor>
    <xdr:from>
      <xdr:col>10</xdr:col>
      <xdr:colOff>76200</xdr:colOff>
      <xdr:row>9</xdr:row>
      <xdr:rowOff>88900</xdr:rowOff>
    </xdr:from>
    <xdr:to>
      <xdr:col>10</xdr:col>
      <xdr:colOff>350520</xdr:colOff>
      <xdr:row>9</xdr:row>
      <xdr:rowOff>90488</xdr:rowOff>
    </xdr:to>
    <xdr:cxnSp macro="">
      <xdr:nvCxnSpPr>
        <xdr:cNvPr id="3" name="Straight Arrow Connector 2"/>
        <xdr:cNvCxnSpPr/>
      </xdr:nvCxnSpPr>
      <xdr:spPr>
        <a:xfrm rot="10800000">
          <a:off x="9042400" y="1905000"/>
          <a:ext cx="274320" cy="1588"/>
        </a:xfrm>
        <a:prstGeom prst="straightConnector1">
          <a:avLst/>
        </a:prstGeom>
        <a:ln>
          <a:solidFill>
            <a:schemeClr val="tx1"/>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Users/Owner/AppData/Local/Microsoft/Windows/Temporary%20Internet%20Files/Low/Content.IE5/MXJTR7AD/Budget.1v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humanealliance.org/Users/Owner/AppData/Local/Microsoft/Windows/Temporary%20Internet%20Files/Low/Content.IE5/MXJTR7AD/Budget.1v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Vet, 25 per Day"/>
      <sheetName val="1 Vet, 35 per Day"/>
      <sheetName val="Variables"/>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 Vet, 25 per Day"/>
      <sheetName val="1 Vet, 35 per Day"/>
      <sheetName val="Variabl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9.vml"/><Relationship Id="rId2" Type="http://schemas.openxmlformats.org/officeDocument/2006/relationships/vmlDrawing" Target="../drawings/vmlDrawing20.vml"/><Relationship Id="rId3"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21.vml"/><Relationship Id="rId2" Type="http://schemas.openxmlformats.org/officeDocument/2006/relationships/vmlDrawing" Target="../drawings/vmlDrawing22.vml"/><Relationship Id="rId3"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23.vml"/><Relationship Id="rId2" Type="http://schemas.openxmlformats.org/officeDocument/2006/relationships/vmlDrawing" Target="../drawings/vmlDrawing24.vml"/><Relationship Id="rId3"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25.vml"/><Relationship Id="rId2" Type="http://schemas.openxmlformats.org/officeDocument/2006/relationships/vmlDrawing" Target="../drawings/vmlDrawing26.vml"/><Relationship Id="rId3"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27.vml"/><Relationship Id="rId2" Type="http://schemas.openxmlformats.org/officeDocument/2006/relationships/vmlDrawing" Target="../drawings/vmlDrawing28.vml"/><Relationship Id="rId3"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29.vml"/><Relationship Id="rId2" Type="http://schemas.openxmlformats.org/officeDocument/2006/relationships/vmlDrawing" Target="../drawings/vmlDrawing30.vml"/><Relationship Id="rId3"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31.vml"/><Relationship Id="rId2" Type="http://schemas.openxmlformats.org/officeDocument/2006/relationships/vmlDrawing" Target="../drawings/vmlDrawing32.vml"/><Relationship Id="rId3"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33.v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34.vml"/><Relationship Id="rId2" Type="http://schemas.openxmlformats.org/officeDocument/2006/relationships/vmlDrawing" Target="../drawings/vmlDrawing35.vml"/><Relationship Id="rId3"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2.xml"/><Relationship Id="rId1" Type="http://schemas.openxmlformats.org/officeDocument/2006/relationships/drawing" Target="../drawings/drawing2.xml"/><Relationship Id="rId2"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vmlDrawing" Target="../drawings/vmlDrawing6.vml"/><Relationship Id="rId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vmlDrawing" Target="../drawings/vmlDrawing8.vml"/><Relationship Id="rId3"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vmlDrawing" Target="../drawings/vmlDrawing10.vml"/><Relationship Id="rId3"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vmlDrawing" Target="../drawings/vmlDrawing12.vml"/><Relationship Id="rId3"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vmlDrawing" Target="../drawings/vmlDrawing14.vml"/><Relationship Id="rId3"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vmlDrawing" Target="../drawings/vmlDrawing16.vml"/><Relationship Id="rId3"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17.vml"/><Relationship Id="rId2" Type="http://schemas.openxmlformats.org/officeDocument/2006/relationships/vmlDrawing" Target="../drawings/vmlDrawing18.vml"/><Relationship Id="rId3"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L47"/>
  <sheetViews>
    <sheetView showGridLines="0" tabSelected="1" view="pageLayout" zoomScaleNormal="115" zoomScalePageLayoutView="115" workbookViewId="0">
      <selection activeCell="F2" sqref="F2"/>
    </sheetView>
  </sheetViews>
  <sheetFormatPr baseColWidth="10" defaultRowHeight="13" x14ac:dyDescent="0"/>
  <cols>
    <col min="1" max="1" width="4" style="13" customWidth="1"/>
    <col min="2" max="2" width="11.85546875" style="13" customWidth="1"/>
    <col min="3" max="3" width="15.28515625" style="13" customWidth="1"/>
    <col min="4" max="4" width="11.28515625" style="58" customWidth="1"/>
    <col min="5" max="5" width="11.42578125" style="20" customWidth="1"/>
    <col min="6" max="6" width="10.7109375" style="13"/>
    <col min="7" max="7" width="10.140625" style="13" customWidth="1"/>
    <col min="8" max="16384" width="10.7109375" style="13"/>
  </cols>
  <sheetData>
    <row r="1" spans="1:12" s="2" customFormat="1" ht="23">
      <c r="A1" s="1" t="s">
        <v>182</v>
      </c>
      <c r="D1" s="3"/>
      <c r="E1" s="4"/>
      <c r="F1" s="4"/>
      <c r="G1" s="5"/>
      <c r="H1" s="4"/>
      <c r="I1" s="4"/>
      <c r="J1" s="6"/>
      <c r="K1" s="7"/>
    </row>
    <row r="2" spans="1:12" s="2" customFormat="1" ht="15.75" customHeight="1">
      <c r="C2" s="347"/>
      <c r="D2" s="347"/>
      <c r="E2" s="347"/>
      <c r="F2" s="8"/>
      <c r="G2" s="9"/>
      <c r="H2" s="8"/>
      <c r="I2" s="4"/>
      <c r="J2" s="4"/>
      <c r="K2" s="7"/>
    </row>
    <row r="3" spans="1:12" s="2" customFormat="1" ht="15.75" customHeight="1">
      <c r="A3" s="359" t="s">
        <v>190</v>
      </c>
      <c r="B3" s="356"/>
      <c r="C3" s="362" t="s">
        <v>213</v>
      </c>
      <c r="D3" s="362"/>
      <c r="E3" s="362"/>
      <c r="G3" s="10"/>
      <c r="H3" s="11"/>
      <c r="I3" s="4"/>
      <c r="J3" s="4"/>
      <c r="K3" s="7"/>
    </row>
    <row r="4" spans="1:12" s="2" customFormat="1" ht="15.75" customHeight="1">
      <c r="A4" s="359" t="s">
        <v>157</v>
      </c>
      <c r="B4" s="356"/>
      <c r="C4" s="363" t="s">
        <v>229</v>
      </c>
      <c r="D4" s="363"/>
      <c r="E4" s="363"/>
      <c r="G4" s="10"/>
      <c r="H4" s="11"/>
      <c r="I4" s="4"/>
      <c r="J4" s="4"/>
      <c r="K4" s="7"/>
    </row>
    <row r="5" spans="1:12" s="2" customFormat="1" ht="15.75" customHeight="1">
      <c r="A5" s="359" t="s">
        <v>158</v>
      </c>
      <c r="B5" s="356"/>
      <c r="C5" s="358" t="s">
        <v>8</v>
      </c>
      <c r="D5" s="358"/>
      <c r="E5" s="358"/>
      <c r="G5" s="10"/>
      <c r="H5" s="11"/>
      <c r="I5" s="4"/>
      <c r="J5" s="4"/>
      <c r="K5" s="7"/>
    </row>
    <row r="6" spans="1:12" s="2" customFormat="1" ht="15.75" customHeight="1">
      <c r="A6" s="364" t="s">
        <v>83</v>
      </c>
      <c r="B6" s="365"/>
      <c r="C6" s="12"/>
      <c r="D6" s="13"/>
      <c r="E6" s="12"/>
      <c r="F6" s="11"/>
      <c r="G6" s="10"/>
      <c r="H6" s="4"/>
      <c r="I6" s="7"/>
    </row>
    <row r="7" spans="1:12" s="2" customFormat="1" ht="15" customHeight="1">
      <c r="A7" s="14" t="s">
        <v>221</v>
      </c>
      <c r="D7" s="15"/>
      <c r="E7" s="14"/>
      <c r="F7" s="14"/>
      <c r="G7" s="16"/>
      <c r="H7" s="14"/>
      <c r="I7" s="14"/>
      <c r="J7" s="14"/>
      <c r="K7" s="16"/>
      <c r="L7" s="17"/>
    </row>
    <row r="9" spans="1:12">
      <c r="A9" s="360" t="s">
        <v>18</v>
      </c>
      <c r="B9" s="361"/>
      <c r="C9" s="18"/>
      <c r="D9" s="19"/>
    </row>
    <row r="10" spans="1:12">
      <c r="A10" s="21"/>
      <c r="B10" s="22" t="s">
        <v>69</v>
      </c>
      <c r="C10" s="23"/>
      <c r="D10" s="24">
        <v>48</v>
      </c>
      <c r="E10" s="22"/>
    </row>
    <row r="11" spans="1:12">
      <c r="A11" s="21"/>
      <c r="B11" s="22" t="s">
        <v>203</v>
      </c>
      <c r="C11" s="23"/>
      <c r="D11" s="24">
        <v>5</v>
      </c>
      <c r="E11" s="22"/>
    </row>
    <row r="12" spans="1:12" ht="14" thickBot="1">
      <c r="A12" s="25"/>
      <c r="B12" s="352" t="s">
        <v>183</v>
      </c>
      <c r="C12" s="352"/>
      <c r="D12" s="26">
        <v>35</v>
      </c>
    </row>
    <row r="13" spans="1:12" ht="14" thickTop="1">
      <c r="A13" s="27"/>
      <c r="B13" s="353" t="s">
        <v>184</v>
      </c>
      <c r="C13" s="354"/>
      <c r="D13" s="28">
        <f>D10*D11*D12</f>
        <v>8400</v>
      </c>
    </row>
    <row r="14" spans="1:12">
      <c r="C14" s="29"/>
      <c r="D14" s="30"/>
      <c r="E14" s="31"/>
    </row>
    <row r="16" spans="1:12" ht="26">
      <c r="A16" s="348" t="s">
        <v>21</v>
      </c>
      <c r="B16" s="349"/>
      <c r="C16" s="32"/>
      <c r="D16" s="33" t="s">
        <v>163</v>
      </c>
      <c r="E16" s="34" t="s">
        <v>162</v>
      </c>
      <c r="F16" s="33" t="s">
        <v>164</v>
      </c>
      <c r="G16" s="35" t="s">
        <v>165</v>
      </c>
    </row>
    <row r="17" spans="1:7">
      <c r="A17" s="355" t="s">
        <v>63</v>
      </c>
      <c r="B17" s="356"/>
      <c r="C17" s="357"/>
      <c r="D17" s="36">
        <v>1000</v>
      </c>
      <c r="E17" s="37">
        <f>D17/$D$30</f>
        <v>0.11904761904761904</v>
      </c>
      <c r="F17" s="38">
        <v>75</v>
      </c>
      <c r="G17" s="39">
        <f>D17*F17</f>
        <v>75000</v>
      </c>
    </row>
    <row r="18" spans="1:7">
      <c r="A18" s="355" t="s">
        <v>143</v>
      </c>
      <c r="B18" s="356"/>
      <c r="C18" s="357"/>
      <c r="D18" s="36">
        <v>900</v>
      </c>
      <c r="E18" s="37">
        <f t="shared" ref="E18:E29" si="0">D18/$D$30</f>
        <v>0.10714285714285714</v>
      </c>
      <c r="F18" s="38">
        <v>65</v>
      </c>
      <c r="G18" s="39">
        <f t="shared" ref="G18:G29" si="1">D18*F18</f>
        <v>58500</v>
      </c>
    </row>
    <row r="19" spans="1:7">
      <c r="A19" s="355" t="s">
        <v>144</v>
      </c>
      <c r="B19" s="356"/>
      <c r="C19" s="357"/>
      <c r="D19" s="36">
        <v>1100</v>
      </c>
      <c r="E19" s="37">
        <f t="shared" si="0"/>
        <v>0.13095238095238096</v>
      </c>
      <c r="F19" s="38">
        <v>50</v>
      </c>
      <c r="G19" s="39">
        <f t="shared" si="1"/>
        <v>55000</v>
      </c>
    </row>
    <row r="20" spans="1:7">
      <c r="A20" s="355" t="s">
        <v>145</v>
      </c>
      <c r="B20" s="356"/>
      <c r="C20" s="357"/>
      <c r="D20" s="36">
        <v>900</v>
      </c>
      <c r="E20" s="37">
        <f t="shared" si="0"/>
        <v>0.10714285714285714</v>
      </c>
      <c r="F20" s="38">
        <v>35</v>
      </c>
      <c r="G20" s="39">
        <f t="shared" si="1"/>
        <v>31500</v>
      </c>
    </row>
    <row r="21" spans="1:7">
      <c r="A21" s="355" t="s">
        <v>146</v>
      </c>
      <c r="B21" s="356"/>
      <c r="C21" s="357"/>
      <c r="D21" s="36">
        <v>1000</v>
      </c>
      <c r="E21" s="37">
        <f t="shared" si="0"/>
        <v>0.11904761904761904</v>
      </c>
      <c r="F21" s="38">
        <v>25</v>
      </c>
      <c r="G21" s="39">
        <f t="shared" si="1"/>
        <v>25000</v>
      </c>
    </row>
    <row r="22" spans="1:7">
      <c r="A22" s="355" t="s">
        <v>9</v>
      </c>
      <c r="B22" s="356"/>
      <c r="C22" s="357"/>
      <c r="D22" s="36">
        <v>900</v>
      </c>
      <c r="E22" s="37">
        <f t="shared" si="0"/>
        <v>0.10714285714285714</v>
      </c>
      <c r="F22" s="38">
        <v>70</v>
      </c>
      <c r="G22" s="39">
        <f t="shared" si="1"/>
        <v>63000</v>
      </c>
    </row>
    <row r="23" spans="1:7">
      <c r="A23" s="355" t="s">
        <v>10</v>
      </c>
      <c r="B23" s="356"/>
      <c r="C23" s="357"/>
      <c r="D23" s="36">
        <v>900</v>
      </c>
      <c r="E23" s="37">
        <f t="shared" si="0"/>
        <v>0.10714285714285714</v>
      </c>
      <c r="F23" s="38">
        <v>60</v>
      </c>
      <c r="G23" s="39">
        <f t="shared" si="1"/>
        <v>54000</v>
      </c>
    </row>
    <row r="24" spans="1:7">
      <c r="A24" s="355" t="s">
        <v>11</v>
      </c>
      <c r="B24" s="356"/>
      <c r="C24" s="357"/>
      <c r="D24" s="36">
        <v>900</v>
      </c>
      <c r="E24" s="37">
        <f t="shared" si="0"/>
        <v>0.10714285714285714</v>
      </c>
      <c r="F24" s="38">
        <v>45</v>
      </c>
      <c r="G24" s="39">
        <f t="shared" si="1"/>
        <v>40500</v>
      </c>
    </row>
    <row r="25" spans="1:7">
      <c r="A25" s="355" t="s">
        <v>12</v>
      </c>
      <c r="B25" s="356"/>
      <c r="C25" s="357"/>
      <c r="D25" s="36">
        <v>800</v>
      </c>
      <c r="E25" s="37">
        <f t="shared" si="0"/>
        <v>9.5238095238095233E-2</v>
      </c>
      <c r="F25" s="38">
        <v>35</v>
      </c>
      <c r="G25" s="39">
        <f t="shared" si="1"/>
        <v>28000</v>
      </c>
    </row>
    <row r="26" spans="1:7">
      <c r="A26" s="355" t="s">
        <v>8</v>
      </c>
      <c r="B26" s="356"/>
      <c r="C26" s="357"/>
      <c r="D26" s="36">
        <v>0</v>
      </c>
      <c r="E26" s="37">
        <f t="shared" si="0"/>
        <v>0</v>
      </c>
      <c r="F26" s="38">
        <v>0</v>
      </c>
      <c r="G26" s="39">
        <f t="shared" si="1"/>
        <v>0</v>
      </c>
    </row>
    <row r="27" spans="1:7">
      <c r="A27" s="355" t="s">
        <v>8</v>
      </c>
      <c r="B27" s="356"/>
      <c r="C27" s="357"/>
      <c r="D27" s="36">
        <v>0</v>
      </c>
      <c r="E27" s="37">
        <f t="shared" si="0"/>
        <v>0</v>
      </c>
      <c r="F27" s="38">
        <v>0</v>
      </c>
      <c r="G27" s="39">
        <f t="shared" si="1"/>
        <v>0</v>
      </c>
    </row>
    <row r="28" spans="1:7">
      <c r="A28" s="355" t="s">
        <v>8</v>
      </c>
      <c r="B28" s="356"/>
      <c r="C28" s="357"/>
      <c r="D28" s="36">
        <v>0</v>
      </c>
      <c r="E28" s="37">
        <f t="shared" si="0"/>
        <v>0</v>
      </c>
      <c r="F28" s="38">
        <v>0</v>
      </c>
      <c r="G28" s="39">
        <f t="shared" si="1"/>
        <v>0</v>
      </c>
    </row>
    <row r="29" spans="1:7" ht="14" thickBot="1">
      <c r="A29" s="366"/>
      <c r="B29" s="352"/>
      <c r="C29" s="367"/>
      <c r="D29" s="40">
        <f>$D$13*C29</f>
        <v>0</v>
      </c>
      <c r="E29" s="37">
        <f t="shared" si="0"/>
        <v>0</v>
      </c>
      <c r="F29" s="41">
        <v>0</v>
      </c>
      <c r="G29" s="39">
        <f t="shared" si="1"/>
        <v>0</v>
      </c>
    </row>
    <row r="30" spans="1:7" ht="14" thickTop="1">
      <c r="A30" s="27"/>
      <c r="B30" s="344" t="s">
        <v>191</v>
      </c>
      <c r="C30" s="346"/>
      <c r="D30" s="42">
        <f>SUM(D17:D29)</f>
        <v>8400</v>
      </c>
      <c r="E30" s="43">
        <f>SUM(E17:E29)</f>
        <v>0.99999999999999978</v>
      </c>
      <c r="F30" s="44"/>
      <c r="G30" s="45">
        <f>SUM(G17:G29)</f>
        <v>430500</v>
      </c>
    </row>
    <row r="31" spans="1:7">
      <c r="C31" s="23"/>
      <c r="D31" s="46"/>
      <c r="E31" s="47"/>
      <c r="F31" s="48"/>
      <c r="G31" s="48"/>
    </row>
    <row r="32" spans="1:7" ht="26">
      <c r="A32" s="350" t="s">
        <v>166</v>
      </c>
      <c r="B32" s="351"/>
      <c r="C32" s="32"/>
      <c r="D32" s="33" t="s">
        <v>163</v>
      </c>
      <c r="E32" s="34" t="s">
        <v>167</v>
      </c>
      <c r="F32" s="33" t="s">
        <v>168</v>
      </c>
      <c r="G32" s="49" t="s">
        <v>169</v>
      </c>
    </row>
    <row r="33" spans="1:7">
      <c r="A33" s="355" t="s">
        <v>147</v>
      </c>
      <c r="B33" s="356"/>
      <c r="C33" s="357"/>
      <c r="D33" s="24">
        <v>4500</v>
      </c>
      <c r="E33" s="37">
        <f>D33/$D$30</f>
        <v>0.5357142857142857</v>
      </c>
      <c r="F33" s="38">
        <v>10</v>
      </c>
      <c r="G33" s="39">
        <f>F33*D33</f>
        <v>45000</v>
      </c>
    </row>
    <row r="34" spans="1:7">
      <c r="A34" s="355" t="s">
        <v>214</v>
      </c>
      <c r="B34" s="356"/>
      <c r="C34" s="357"/>
      <c r="D34" s="24">
        <v>1500</v>
      </c>
      <c r="E34" s="37">
        <f t="shared" ref="E34:E40" si="2">D34/$D$30</f>
        <v>0.17857142857142858</v>
      </c>
      <c r="F34" s="38">
        <v>15</v>
      </c>
      <c r="G34" s="39">
        <f t="shared" ref="G34:G40" si="3">F34*D34</f>
        <v>22500</v>
      </c>
    </row>
    <row r="35" spans="1:7">
      <c r="A35" s="355" t="s">
        <v>215</v>
      </c>
      <c r="B35" s="356"/>
      <c r="C35" s="357"/>
      <c r="D35" s="24">
        <v>1500</v>
      </c>
      <c r="E35" s="37">
        <f t="shared" si="2"/>
        <v>0.17857142857142858</v>
      </c>
      <c r="F35" s="38">
        <v>15</v>
      </c>
      <c r="G35" s="39">
        <f t="shared" si="3"/>
        <v>22500</v>
      </c>
    </row>
    <row r="36" spans="1:7">
      <c r="A36" s="355"/>
      <c r="B36" s="356"/>
      <c r="C36" s="357"/>
      <c r="D36" s="24">
        <f>$D$13*C36</f>
        <v>0</v>
      </c>
      <c r="E36" s="37">
        <f t="shared" si="2"/>
        <v>0</v>
      </c>
      <c r="F36" s="38">
        <v>0</v>
      </c>
      <c r="G36" s="39">
        <f t="shared" si="3"/>
        <v>0</v>
      </c>
    </row>
    <row r="37" spans="1:7">
      <c r="A37" s="355"/>
      <c r="B37" s="356"/>
      <c r="C37" s="357"/>
      <c r="D37" s="24">
        <f>$D$13*C37</f>
        <v>0</v>
      </c>
      <c r="E37" s="37">
        <f t="shared" si="2"/>
        <v>0</v>
      </c>
      <c r="F37" s="38">
        <v>0</v>
      </c>
      <c r="G37" s="39">
        <f t="shared" si="3"/>
        <v>0</v>
      </c>
    </row>
    <row r="38" spans="1:7">
      <c r="A38" s="355"/>
      <c r="B38" s="356"/>
      <c r="C38" s="357"/>
      <c r="D38" s="24">
        <f>$D$13*C38</f>
        <v>0</v>
      </c>
      <c r="E38" s="37">
        <f t="shared" si="2"/>
        <v>0</v>
      </c>
      <c r="F38" s="38">
        <v>0</v>
      </c>
      <c r="G38" s="39">
        <f t="shared" si="3"/>
        <v>0</v>
      </c>
    </row>
    <row r="39" spans="1:7">
      <c r="A39" s="355"/>
      <c r="B39" s="356"/>
      <c r="C39" s="357"/>
      <c r="D39" s="24">
        <f>$D$13*C39</f>
        <v>0</v>
      </c>
      <c r="E39" s="37">
        <f t="shared" si="2"/>
        <v>0</v>
      </c>
      <c r="F39" s="38">
        <v>0</v>
      </c>
      <c r="G39" s="39">
        <f t="shared" si="3"/>
        <v>0</v>
      </c>
    </row>
    <row r="40" spans="1:7" ht="14" thickBot="1">
      <c r="A40" s="366"/>
      <c r="B40" s="352"/>
      <c r="C40" s="367"/>
      <c r="D40" s="26">
        <f>$D$13*C40</f>
        <v>0</v>
      </c>
      <c r="E40" s="37">
        <f t="shared" si="2"/>
        <v>0</v>
      </c>
      <c r="F40" s="41">
        <v>0</v>
      </c>
      <c r="G40" s="39">
        <f t="shared" si="3"/>
        <v>0</v>
      </c>
    </row>
    <row r="41" spans="1:7" ht="14" thickTop="1">
      <c r="A41" s="27"/>
      <c r="B41" s="344" t="s">
        <v>192</v>
      </c>
      <c r="C41" s="345"/>
      <c r="D41" s="50"/>
      <c r="E41" s="51"/>
      <c r="F41" s="44"/>
      <c r="G41" s="45">
        <f>SUM(G33:G40)</f>
        <v>90000</v>
      </c>
    </row>
    <row r="42" spans="1:7">
      <c r="C42" s="23"/>
      <c r="D42" s="52"/>
      <c r="E42" s="53"/>
    </row>
    <row r="43" spans="1:7">
      <c r="C43" s="29"/>
      <c r="D43" s="30"/>
      <c r="E43" s="54"/>
      <c r="F43" s="55" t="s">
        <v>19</v>
      </c>
      <c r="G43" s="56">
        <f>SUM(G30+G41)</f>
        <v>520500</v>
      </c>
    </row>
    <row r="44" spans="1:7">
      <c r="C44" s="29"/>
      <c r="D44" s="30"/>
      <c r="E44" s="53"/>
    </row>
    <row r="45" spans="1:7">
      <c r="C45" s="29"/>
      <c r="D45" s="30"/>
      <c r="E45" s="53"/>
      <c r="F45" s="55" t="s">
        <v>20</v>
      </c>
      <c r="G45" s="57">
        <f>IF(ISERROR(G43/D30),0,G43/D30)</f>
        <v>61.964285714285715</v>
      </c>
    </row>
    <row r="46" spans="1:7">
      <c r="C46" s="29"/>
      <c r="D46" s="30"/>
      <c r="E46" s="53"/>
    </row>
    <row r="47" spans="1:7">
      <c r="C47" s="29"/>
      <c r="D47" s="30"/>
      <c r="E47" s="54"/>
    </row>
  </sheetData>
  <mergeCells count="36">
    <mergeCell ref="A22:C22"/>
    <mergeCell ref="A24:C24"/>
    <mergeCell ref="A40:C40"/>
    <mergeCell ref="A33:C33"/>
    <mergeCell ref="A34:C34"/>
    <mergeCell ref="A35:C35"/>
    <mergeCell ref="A36:C36"/>
    <mergeCell ref="A37:C37"/>
    <mergeCell ref="A38:C38"/>
    <mergeCell ref="A39:C39"/>
    <mergeCell ref="A29:C29"/>
    <mergeCell ref="A25:C25"/>
    <mergeCell ref="A26:C26"/>
    <mergeCell ref="A27:C27"/>
    <mergeCell ref="A28:C28"/>
    <mergeCell ref="A6:B6"/>
    <mergeCell ref="A20:C20"/>
    <mergeCell ref="A21:C21"/>
    <mergeCell ref="A18:C18"/>
    <mergeCell ref="A19:C19"/>
    <mergeCell ref="B41:C41"/>
    <mergeCell ref="B30:C30"/>
    <mergeCell ref="C2:E2"/>
    <mergeCell ref="A16:B16"/>
    <mergeCell ref="A32:B32"/>
    <mergeCell ref="B12:C12"/>
    <mergeCell ref="B13:C13"/>
    <mergeCell ref="A23:C23"/>
    <mergeCell ref="C5:E5"/>
    <mergeCell ref="A3:B3"/>
    <mergeCell ref="A4:B4"/>
    <mergeCell ref="A17:C17"/>
    <mergeCell ref="A5:B5"/>
    <mergeCell ref="A9:B9"/>
    <mergeCell ref="C3:E3"/>
    <mergeCell ref="C4:E4"/>
  </mergeCells>
  <phoneticPr fontId="3"/>
  <dataValidations count="2">
    <dataValidation type="decimal" allowBlank="1" showInputMessage="1" showErrorMessage="1" error="Please enter an amount between -10,000,000 and 10,000,000." sqref="F2 G2:H5 F6">
      <formula1>-10000000</formula1>
      <formula2>10000000</formula2>
    </dataValidation>
    <dataValidation allowBlank="1" showInputMessage="1" showErrorMessage="1" error="Please enter an amount between -10,000,000 and 10,000,000." sqref="G6"/>
  </dataValidations>
  <pageMargins left="0.75" right="0.75" top="0.75" bottom="0.75" header="0.5" footer="0.5"/>
  <pageSetup scale="74" orientation="portrait" horizontalDpi="4294967292" verticalDpi="4294967292"/>
  <headerFooter>
    <oddHeader>&amp;R&amp;G</oddHeader>
    <oddFooter>&amp;C&amp;"Helvetica Neue,Regular"&amp;8Updated: 1/23/18</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35072" r:id="rId4" name="Check Box 256">
              <controlPr defaultSize="0" autoFill="0" autoLine="0" autoPict="0">
                <anchor moveWithCells="1">
                  <from>
                    <xdr:col>2</xdr:col>
                    <xdr:colOff>38100</xdr:colOff>
                    <xdr:row>5</xdr:row>
                    <xdr:rowOff>0</xdr:rowOff>
                  </from>
                  <to>
                    <xdr:col>2</xdr:col>
                    <xdr:colOff>1282700</xdr:colOff>
                    <xdr:row>6</xdr:row>
                    <xdr:rowOff>25400</xdr:rowOff>
                  </to>
                </anchor>
              </controlPr>
            </control>
          </mc:Choice>
          <mc:Fallback/>
        </mc:AlternateContent>
        <mc:AlternateContent xmlns:mc="http://schemas.openxmlformats.org/markup-compatibility/2006">
          <mc:Choice Requires="x14">
            <control shapeId="35083" r:id="rId5" name="Check Box 267">
              <controlPr defaultSize="0" autoFill="0" autoLine="0" autoPict="0">
                <anchor moveWithCells="1">
                  <from>
                    <xdr:col>3</xdr:col>
                    <xdr:colOff>101600</xdr:colOff>
                    <xdr:row>5</xdr:row>
                    <xdr:rowOff>0</xdr:rowOff>
                  </from>
                  <to>
                    <xdr:col>4</xdr:col>
                    <xdr:colOff>571500</xdr:colOff>
                    <xdr:row>6</xdr:row>
                    <xdr:rowOff>25400</xdr:rowOff>
                  </to>
                </anchor>
              </controlPr>
            </control>
          </mc:Choice>
          <mc:Fallback/>
        </mc:AlternateContent>
        <mc:AlternateContent xmlns:mc="http://schemas.openxmlformats.org/markup-compatibility/2006">
          <mc:Choice Requires="x14">
            <control shapeId="35087" r:id="rId6" name="Check Box 271">
              <controlPr defaultSize="0" autoFill="0" autoLine="0" autoPict="0">
                <anchor moveWithCells="1">
                  <from>
                    <xdr:col>4</xdr:col>
                    <xdr:colOff>596900</xdr:colOff>
                    <xdr:row>4</xdr:row>
                    <xdr:rowOff>152400</xdr:rowOff>
                  </from>
                  <to>
                    <xdr:col>5</xdr:col>
                    <xdr:colOff>469900</xdr:colOff>
                    <xdr:row>6</xdr:row>
                    <xdr:rowOff>63500</xdr:rowOff>
                  </to>
                </anchor>
              </controlPr>
            </control>
          </mc:Choice>
          <mc:Fallback/>
        </mc:AlternateContent>
      </controls>
    </mc:Choice>
    <mc:Fallback/>
  </mc:AlternateContent>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142</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37178.571428571428</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38428.571428571428</v>
      </c>
      <c r="E14" s="71"/>
      <c r="F14" s="88"/>
      <c r="G14" s="9"/>
      <c r="H14" s="73"/>
      <c r="I14" s="89" t="s">
        <v>171</v>
      </c>
      <c r="J14" s="226">
        <v>30</v>
      </c>
    </row>
    <row r="15" spans="1:11" ht="15" customHeight="1" thickBot="1">
      <c r="A15" s="96"/>
      <c r="B15" s="96"/>
      <c r="C15" s="96"/>
      <c r="D15" s="72"/>
      <c r="E15" s="71"/>
      <c r="F15" s="88"/>
      <c r="G15" s="9"/>
      <c r="H15" s="93"/>
      <c r="I15" s="94" t="s">
        <v>125</v>
      </c>
      <c r="J15" s="95">
        <f>J14*J13*J12</f>
        <v>600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6.2195501192080444E-3</v>
      </c>
      <c r="F18" s="88"/>
      <c r="G18" s="9"/>
      <c r="H18" s="375" t="s">
        <v>56</v>
      </c>
      <c r="I18" s="381"/>
      <c r="J18" s="67"/>
    </row>
    <row r="19" spans="1:10" ht="15" customHeight="1">
      <c r="A19" s="68"/>
      <c r="B19" s="69" t="s">
        <v>198</v>
      </c>
      <c r="C19" s="69"/>
      <c r="D19" s="174">
        <f>J15*J11</f>
        <v>9000</v>
      </c>
      <c r="E19" s="100">
        <f t="shared" si="0"/>
        <v>0.22390380429148962</v>
      </c>
      <c r="F19" s="88"/>
      <c r="G19" s="9"/>
      <c r="H19" s="73"/>
      <c r="I19" s="101" t="s">
        <v>133</v>
      </c>
      <c r="J19" s="223">
        <f>'Step 2'!J19</f>
        <v>1</v>
      </c>
    </row>
    <row r="20" spans="1:10" ht="15" customHeight="1" thickBot="1">
      <c r="A20" s="68"/>
      <c r="B20" s="69" t="s">
        <v>44</v>
      </c>
      <c r="C20" s="69"/>
      <c r="D20" s="174">
        <f>'Step 2'!D20/12</f>
        <v>250</v>
      </c>
      <c r="E20" s="100">
        <f t="shared" si="0"/>
        <v>6.2195501192080444E-3</v>
      </c>
      <c r="F20" s="72"/>
      <c r="G20" s="9"/>
      <c r="H20" s="73"/>
      <c r="I20" s="103" t="s">
        <v>134</v>
      </c>
      <c r="J20" s="227">
        <f>'Step 2'!J20/12</f>
        <v>6500</v>
      </c>
    </row>
    <row r="21" spans="1:10" ht="15" customHeight="1" thickBot="1">
      <c r="A21" s="68"/>
      <c r="B21" s="69" t="s">
        <v>56</v>
      </c>
      <c r="C21" s="69"/>
      <c r="D21" s="174">
        <f>J31</f>
        <v>14333.333333333332</v>
      </c>
      <c r="E21" s="100">
        <f t="shared" si="0"/>
        <v>0.35658754016792787</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5.3488131025189185E-2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2.6951383849901527E-2</v>
      </c>
      <c r="F24" s="65"/>
      <c r="H24" s="73"/>
      <c r="I24" s="94" t="s">
        <v>114</v>
      </c>
      <c r="J24" s="245">
        <f>'Step 2'!J24/12</f>
        <v>2666.6666666666665</v>
      </c>
    </row>
    <row r="25" spans="1:10" ht="15" customHeight="1" thickTop="1">
      <c r="A25" s="68"/>
      <c r="B25" s="370" t="s">
        <v>45</v>
      </c>
      <c r="C25" s="371"/>
      <c r="D25" s="225">
        <f>SUM(D18:D24)</f>
        <v>27066.666666666664</v>
      </c>
      <c r="E25" s="111">
        <f t="shared" si="0"/>
        <v>0.67336995957292423</v>
      </c>
      <c r="F25" s="107"/>
      <c r="G25" s="9"/>
      <c r="H25" s="73"/>
      <c r="I25" s="112" t="s">
        <v>136</v>
      </c>
      <c r="J25" s="223">
        <f>'Step 2'!J25</f>
        <v>2</v>
      </c>
    </row>
    <row r="26" spans="1:10" ht="15" customHeight="1" thickBot="1">
      <c r="A26" s="86"/>
      <c r="B26" s="372" t="s">
        <v>61</v>
      </c>
      <c r="C26" s="346"/>
      <c r="D26" s="229">
        <f>D14-COGS</f>
        <v>11361.904761904763</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0.16170830309940917</v>
      </c>
      <c r="F30" s="88"/>
      <c r="G30" s="9"/>
      <c r="H30" s="73"/>
      <c r="I30" s="94" t="s">
        <v>210</v>
      </c>
      <c r="J30" s="245">
        <f>'Step 2'!J30/12</f>
        <v>1500</v>
      </c>
    </row>
    <row r="31" spans="1:10" ht="15" customHeight="1" thickBot="1">
      <c r="A31" s="68"/>
      <c r="B31" s="69" t="s">
        <v>105</v>
      </c>
      <c r="C31" s="69"/>
      <c r="D31" s="70">
        <f>'Step 2'!D31/12</f>
        <v>975</v>
      </c>
      <c r="E31" s="100">
        <f t="shared" ref="E31:E60" si="1">D31/$J$46</f>
        <v>2.4256245464911376E-2</v>
      </c>
      <c r="F31" s="88"/>
      <c r="G31" s="9"/>
      <c r="H31" s="118"/>
      <c r="I31" s="247" t="s">
        <v>89</v>
      </c>
      <c r="J31" s="120">
        <f>J21+J24+J27+J30</f>
        <v>14333.333333333332</v>
      </c>
    </row>
    <row r="32" spans="1:10" ht="15" customHeight="1" thickBot="1">
      <c r="A32" s="68"/>
      <c r="B32" s="69" t="s">
        <v>33</v>
      </c>
      <c r="C32" s="69"/>
      <c r="D32" s="70">
        <f>'Step 2'!D32/12</f>
        <v>541.66666666666663</v>
      </c>
      <c r="E32" s="100">
        <f t="shared" si="1"/>
        <v>1.3475691924950763E-2</v>
      </c>
      <c r="F32" s="88"/>
      <c r="G32" s="9"/>
      <c r="H32" s="121" t="s">
        <v>148</v>
      </c>
      <c r="I32" s="232"/>
      <c r="J32" s="233"/>
    </row>
    <row r="33" spans="1:11" ht="15" customHeight="1">
      <c r="A33" s="68"/>
      <c r="B33" s="69" t="s">
        <v>13</v>
      </c>
      <c r="C33" s="69"/>
      <c r="D33" s="70">
        <f>'Step 2'!D33/12</f>
        <v>166.66666666666666</v>
      </c>
      <c r="E33" s="100">
        <f t="shared" si="1"/>
        <v>4.1463667461386963E-3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1.0365916865346741E-3</v>
      </c>
      <c r="F35" s="88"/>
      <c r="G35" s="9"/>
      <c r="H35" s="73"/>
      <c r="I35" s="94" t="s">
        <v>58</v>
      </c>
      <c r="J35" s="245">
        <f>'Step 2'!J35/12</f>
        <v>0</v>
      </c>
    </row>
    <row r="36" spans="1:11" ht="15" customHeight="1">
      <c r="A36" s="68"/>
      <c r="B36" s="69" t="s">
        <v>197</v>
      </c>
      <c r="C36" s="69"/>
      <c r="D36" s="70">
        <f>'Step 2'!D36/12</f>
        <v>208.33333333333334</v>
      </c>
      <c r="E36" s="100">
        <f t="shared" si="1"/>
        <v>5.1829584326733708E-3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2.0731833730693483E-4</v>
      </c>
      <c r="F38" s="88"/>
      <c r="G38" s="9"/>
      <c r="H38" s="73"/>
      <c r="I38" s="94" t="s">
        <v>99</v>
      </c>
      <c r="J38" s="245">
        <f>'Step 2'!J38/12</f>
        <v>3750</v>
      </c>
    </row>
    <row r="39" spans="1:11" ht="15" customHeight="1">
      <c r="A39" s="68"/>
      <c r="B39" s="69" t="s">
        <v>111</v>
      </c>
      <c r="C39" s="69"/>
      <c r="D39" s="70">
        <f>'Step 2'!D39/12</f>
        <v>62.5</v>
      </c>
      <c r="E39" s="100">
        <f t="shared" si="1"/>
        <v>1.5548875298020111E-3</v>
      </c>
      <c r="F39" s="88"/>
      <c r="G39" s="9"/>
      <c r="H39" s="73"/>
      <c r="I39" s="112" t="s">
        <v>34</v>
      </c>
      <c r="J39" s="223">
        <f>'Step 2'!J39</f>
        <v>1.5</v>
      </c>
    </row>
    <row r="40" spans="1:11" ht="15" customHeight="1" thickBot="1">
      <c r="A40" s="68"/>
      <c r="B40" s="69" t="s">
        <v>108</v>
      </c>
      <c r="C40" s="69"/>
      <c r="D40" s="70">
        <f>'Step 2'!D40/12</f>
        <v>83.333333333333329</v>
      </c>
      <c r="E40" s="100">
        <f t="shared" si="1"/>
        <v>2.0731833730693481E-3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4.1463667461386963E-3</v>
      </c>
      <c r="F42" s="74"/>
      <c r="G42" s="9"/>
      <c r="H42" s="68"/>
      <c r="I42" s="119" t="s">
        <v>149</v>
      </c>
      <c r="J42" s="248">
        <f>J35+J38+J41</f>
        <v>6500</v>
      </c>
    </row>
    <row r="43" spans="1:11" ht="15" customHeight="1" thickBot="1">
      <c r="A43" s="68"/>
      <c r="B43" s="69" t="s">
        <v>81</v>
      </c>
      <c r="C43" s="69"/>
      <c r="D43" s="70">
        <f>'Step 2'!D43/12</f>
        <v>125</v>
      </c>
      <c r="E43" s="100">
        <f t="shared" si="1"/>
        <v>3.1097750596040222E-3</v>
      </c>
      <c r="F43" s="69"/>
      <c r="G43" s="127"/>
      <c r="H43" s="93"/>
      <c r="I43" s="236" t="s">
        <v>181</v>
      </c>
      <c r="J43" s="237">
        <f>J31+J42</f>
        <v>20833.333333333332</v>
      </c>
    </row>
    <row r="44" spans="1:11" ht="15" customHeight="1">
      <c r="A44" s="68"/>
      <c r="B44" s="69" t="s">
        <v>90</v>
      </c>
      <c r="C44" s="69"/>
      <c r="D44" s="70">
        <f>'Step 2'!D44/12</f>
        <v>41.666666666666664</v>
      </c>
      <c r="E44" s="100">
        <f t="shared" si="1"/>
        <v>1.0365916865346741E-3</v>
      </c>
      <c r="F44" s="88"/>
      <c r="G44" s="130"/>
    </row>
    <row r="45" spans="1:11" ht="15" customHeight="1">
      <c r="A45" s="68"/>
      <c r="B45" s="69" t="s">
        <v>25</v>
      </c>
      <c r="C45" s="69"/>
      <c r="D45" s="70">
        <f>'Step 2'!D45/12</f>
        <v>166.66666666666666</v>
      </c>
      <c r="E45" s="100">
        <f t="shared" si="1"/>
        <v>4.1463667461386963E-3</v>
      </c>
      <c r="F45" s="88"/>
      <c r="G45" s="9"/>
    </row>
    <row r="46" spans="1:11" ht="15" customHeight="1">
      <c r="A46" s="68"/>
      <c r="B46" s="69" t="s">
        <v>26</v>
      </c>
      <c r="C46" s="69"/>
      <c r="D46" s="70">
        <f>'Step 2'!D46/12</f>
        <v>41.666666666666664</v>
      </c>
      <c r="E46" s="100">
        <f t="shared" si="1"/>
        <v>1.0365916865346741E-3</v>
      </c>
      <c r="F46" s="88"/>
      <c r="I46" s="131" t="s">
        <v>117</v>
      </c>
      <c r="J46" s="132">
        <f>SUM(D25,D60)</f>
        <v>40195.833333333328</v>
      </c>
      <c r="K46" s="133">
        <f>E60+E25</f>
        <v>1</v>
      </c>
    </row>
    <row r="47" spans="1:11" ht="15" customHeight="1">
      <c r="A47" s="68"/>
      <c r="B47" s="69" t="s">
        <v>224</v>
      </c>
      <c r="C47" s="69"/>
      <c r="D47" s="70">
        <f>'Step 2'!D47/12</f>
        <v>166.66666666666666</v>
      </c>
      <c r="E47" s="100">
        <f t="shared" si="1"/>
        <v>4.1463667461386963E-3</v>
      </c>
      <c r="F47" s="88"/>
      <c r="G47" s="142"/>
      <c r="I47" s="238"/>
      <c r="J47" s="239"/>
      <c r="K47" s="153"/>
    </row>
    <row r="48" spans="1:11" ht="15" customHeight="1">
      <c r="A48" s="68"/>
      <c r="B48" s="69" t="s">
        <v>5</v>
      </c>
      <c r="C48" s="69"/>
      <c r="D48" s="70">
        <f>'Step 2'!D48/12</f>
        <v>583.33333333333337</v>
      </c>
      <c r="E48" s="100">
        <f t="shared" si="1"/>
        <v>1.4512283611485438E-2</v>
      </c>
      <c r="F48" s="88"/>
      <c r="G48" s="142"/>
      <c r="I48" s="135" t="s">
        <v>174</v>
      </c>
      <c r="J48" s="136">
        <f>(D26-D60)</f>
        <v>-1767.2619047619028</v>
      </c>
      <c r="K48" s="153"/>
    </row>
    <row r="49" spans="1:13" ht="15" customHeight="1">
      <c r="A49" s="68"/>
      <c r="B49" s="69" t="s">
        <v>154</v>
      </c>
      <c r="C49" s="69"/>
      <c r="D49" s="70">
        <f>'Step 2'!D49/12</f>
        <v>166.66666666666666</v>
      </c>
      <c r="E49" s="100">
        <f t="shared" si="1"/>
        <v>4.1463667461386963E-3</v>
      </c>
      <c r="F49" s="88"/>
      <c r="G49" s="142"/>
      <c r="K49" s="137"/>
      <c r="L49" s="138"/>
      <c r="M49" s="10"/>
    </row>
    <row r="50" spans="1:13" ht="15" customHeight="1">
      <c r="A50" s="68"/>
      <c r="B50" s="69" t="s">
        <v>66</v>
      </c>
      <c r="C50" s="69"/>
      <c r="D50" s="70">
        <f>'Step 2'!D50/12</f>
        <v>2000</v>
      </c>
      <c r="E50" s="100">
        <f t="shared" si="1"/>
        <v>4.9756400953664355E-2</v>
      </c>
      <c r="F50" s="88"/>
      <c r="G50" s="9"/>
      <c r="K50" s="137"/>
      <c r="L50" s="139"/>
      <c r="M50" s="110"/>
    </row>
    <row r="51" spans="1:13" ht="15" customHeight="1">
      <c r="A51" s="68"/>
      <c r="B51" s="69" t="s">
        <v>40</v>
      </c>
      <c r="C51" s="69"/>
      <c r="D51" s="70">
        <f>'Step 2'!D51/12</f>
        <v>166.66666666666666</v>
      </c>
      <c r="E51" s="100">
        <f t="shared" si="1"/>
        <v>4.1463667461386963E-3</v>
      </c>
      <c r="F51" s="88"/>
      <c r="L51" s="138"/>
      <c r="M51" s="10"/>
    </row>
    <row r="52" spans="1:13" ht="15" customHeight="1">
      <c r="A52" s="68"/>
      <c r="B52" s="69" t="s">
        <v>100</v>
      </c>
      <c r="C52" s="69"/>
      <c r="D52" s="70">
        <f>'Step 2'!D52/12</f>
        <v>666.66666666666663</v>
      </c>
      <c r="E52" s="100">
        <f t="shared" si="1"/>
        <v>1.6585466984554785E-2</v>
      </c>
      <c r="F52" s="88"/>
      <c r="G52" s="9"/>
      <c r="H52" s="377"/>
      <c r="I52" s="356"/>
      <c r="J52" s="356"/>
      <c r="L52" s="140"/>
      <c r="M52" s="10"/>
    </row>
    <row r="53" spans="1:13" ht="15" customHeight="1">
      <c r="A53" s="68"/>
      <c r="B53" s="69" t="s">
        <v>161</v>
      </c>
      <c r="C53" s="69"/>
      <c r="D53" s="70">
        <f>'Step 2'!D53/12</f>
        <v>41.666666666666664</v>
      </c>
      <c r="E53" s="100">
        <f t="shared" si="1"/>
        <v>1.0365916865346741E-3</v>
      </c>
      <c r="F53" s="88"/>
      <c r="H53" s="356"/>
      <c r="I53" s="356"/>
      <c r="J53" s="356"/>
      <c r="K53" s="196"/>
      <c r="L53" s="140"/>
    </row>
    <row r="54" spans="1:13" ht="15" customHeight="1">
      <c r="A54" s="68"/>
      <c r="B54" s="69" t="s">
        <v>173</v>
      </c>
      <c r="C54" s="69"/>
      <c r="D54" s="70">
        <f>'Step 2'!D54/12</f>
        <v>41.666666666666664</v>
      </c>
      <c r="E54" s="100">
        <f t="shared" si="1"/>
        <v>1.0365916865346741E-3</v>
      </c>
      <c r="F54" s="88"/>
      <c r="H54" s="356"/>
      <c r="I54" s="356"/>
      <c r="J54" s="356"/>
      <c r="K54" s="240"/>
      <c r="L54" s="141"/>
      <c r="M54" s="10"/>
    </row>
    <row r="55" spans="1:13" ht="15" customHeight="1">
      <c r="A55" s="68"/>
      <c r="B55" s="144" t="s">
        <v>101</v>
      </c>
      <c r="C55" s="69"/>
      <c r="D55" s="70">
        <f>'Step 2'!D55/12</f>
        <v>166.66666666666666</v>
      </c>
      <c r="E55" s="100">
        <f t="shared" si="1"/>
        <v>4.1463667461386963E-3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0.32663004042707577</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207</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40896.428571428572</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42146.428571428572</v>
      </c>
      <c r="E14" s="71"/>
      <c r="F14" s="88"/>
      <c r="G14" s="9"/>
      <c r="H14" s="73"/>
      <c r="I14" s="89" t="s">
        <v>171</v>
      </c>
      <c r="J14" s="226">
        <v>33</v>
      </c>
    </row>
    <row r="15" spans="1:11" ht="15" customHeight="1" thickBot="1">
      <c r="A15" s="96"/>
      <c r="B15" s="96"/>
      <c r="C15" s="96"/>
      <c r="D15" s="72"/>
      <c r="E15" s="71"/>
      <c r="F15" s="88"/>
      <c r="G15" s="9"/>
      <c r="H15" s="93"/>
      <c r="I15" s="94" t="s">
        <v>125</v>
      </c>
      <c r="J15" s="95">
        <f>J14*J13*J12</f>
        <v>660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6.0833417824191433E-3</v>
      </c>
      <c r="F18" s="88"/>
      <c r="G18" s="9"/>
      <c r="H18" s="375" t="s">
        <v>56</v>
      </c>
      <c r="I18" s="381"/>
      <c r="J18" s="67"/>
    </row>
    <row r="19" spans="1:10" ht="15" customHeight="1">
      <c r="A19" s="68"/>
      <c r="B19" s="69" t="s">
        <v>198</v>
      </c>
      <c r="C19" s="69"/>
      <c r="D19" s="174">
        <f>J15*J11</f>
        <v>9900</v>
      </c>
      <c r="E19" s="100">
        <f t="shared" si="0"/>
        <v>0.24090033458379806</v>
      </c>
      <c r="F19" s="88"/>
      <c r="G19" s="9"/>
      <c r="H19" s="73"/>
      <c r="I19" s="101" t="s">
        <v>133</v>
      </c>
      <c r="J19" s="223">
        <f>'Step 2'!J19</f>
        <v>1</v>
      </c>
    </row>
    <row r="20" spans="1:10" ht="15" customHeight="1" thickBot="1">
      <c r="A20" s="68"/>
      <c r="B20" s="69" t="s">
        <v>44</v>
      </c>
      <c r="C20" s="69"/>
      <c r="D20" s="174">
        <f>'Step 2'!D20/12</f>
        <v>250</v>
      </c>
      <c r="E20" s="100">
        <f t="shared" si="0"/>
        <v>6.0833417824191433E-3</v>
      </c>
      <c r="F20" s="72"/>
      <c r="G20" s="9"/>
      <c r="H20" s="73"/>
      <c r="I20" s="103" t="s">
        <v>134</v>
      </c>
      <c r="J20" s="227">
        <f>'Step 2'!J20/12</f>
        <v>6500</v>
      </c>
    </row>
    <row r="21" spans="1:10" ht="15" customHeight="1" thickBot="1">
      <c r="A21" s="68"/>
      <c r="B21" s="69" t="s">
        <v>56</v>
      </c>
      <c r="C21" s="69"/>
      <c r="D21" s="174">
        <f>J31</f>
        <v>14333.333333333332</v>
      </c>
      <c r="E21" s="100">
        <f t="shared" si="0"/>
        <v>0.34877826219203084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5.231673932880463E-2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2.6361147723816283E-2</v>
      </c>
      <c r="F24" s="65"/>
      <c r="H24" s="73"/>
      <c r="I24" s="94" t="s">
        <v>114</v>
      </c>
      <c r="J24" s="245">
        <f>'Step 2'!J24/12</f>
        <v>2666.6666666666665</v>
      </c>
    </row>
    <row r="25" spans="1:10" ht="15" customHeight="1" thickTop="1">
      <c r="A25" s="68"/>
      <c r="B25" s="370" t="s">
        <v>45</v>
      </c>
      <c r="C25" s="371"/>
      <c r="D25" s="225">
        <f>SUM(D18:D24)</f>
        <v>27966.666666666664</v>
      </c>
      <c r="E25" s="111">
        <f t="shared" si="0"/>
        <v>0.68052316739328811</v>
      </c>
      <c r="F25" s="107"/>
      <c r="G25" s="9"/>
      <c r="H25" s="73"/>
      <c r="I25" s="112" t="s">
        <v>136</v>
      </c>
      <c r="J25" s="223">
        <f>'Step 2'!J25</f>
        <v>2</v>
      </c>
    </row>
    <row r="26" spans="1:10" ht="15" customHeight="1" thickBot="1">
      <c r="A26" s="86"/>
      <c r="B26" s="372" t="s">
        <v>61</v>
      </c>
      <c r="C26" s="346"/>
      <c r="D26" s="229">
        <f>D14-COGS</f>
        <v>14179.761904761908</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0.15816688634289772</v>
      </c>
      <c r="F30" s="88"/>
      <c r="G30" s="9"/>
      <c r="H30" s="73"/>
      <c r="I30" s="94" t="s">
        <v>210</v>
      </c>
      <c r="J30" s="245">
        <f>'Step 2'!J30/12</f>
        <v>1500</v>
      </c>
    </row>
    <row r="31" spans="1:10" ht="15" customHeight="1" thickBot="1">
      <c r="A31" s="68"/>
      <c r="B31" s="69" t="s">
        <v>105</v>
      </c>
      <c r="C31" s="69"/>
      <c r="D31" s="70">
        <f>'Step 2'!D31/12</f>
        <v>975</v>
      </c>
      <c r="E31" s="100">
        <f t="shared" ref="E31:E60" si="1">D31/$J$46</f>
        <v>2.3725032951434657E-2</v>
      </c>
      <c r="F31" s="88"/>
      <c r="G31" s="9"/>
      <c r="H31" s="118"/>
      <c r="I31" s="247" t="s">
        <v>89</v>
      </c>
      <c r="J31" s="120">
        <f>J21+J24+J27+J30</f>
        <v>14333.333333333332</v>
      </c>
    </row>
    <row r="32" spans="1:10" ht="15" customHeight="1" thickBot="1">
      <c r="A32" s="68"/>
      <c r="B32" s="69" t="s">
        <v>33</v>
      </c>
      <c r="C32" s="69"/>
      <c r="D32" s="70">
        <f>'Step 2'!D32/12</f>
        <v>541.66666666666663</v>
      </c>
      <c r="E32" s="100">
        <f t="shared" si="1"/>
        <v>1.3180573861908141E-2</v>
      </c>
      <c r="F32" s="88"/>
      <c r="G32" s="9"/>
      <c r="H32" s="121" t="s">
        <v>148</v>
      </c>
      <c r="I32" s="232"/>
      <c r="J32" s="233"/>
    </row>
    <row r="33" spans="1:11" ht="15" customHeight="1">
      <c r="A33" s="68"/>
      <c r="B33" s="69" t="s">
        <v>13</v>
      </c>
      <c r="C33" s="69"/>
      <c r="D33" s="70">
        <f>'Step 2'!D33/12</f>
        <v>166.66666666666666</v>
      </c>
      <c r="E33" s="100">
        <f t="shared" si="1"/>
        <v>4.0555611882794286E-3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1.0138902970698571E-3</v>
      </c>
      <c r="F35" s="88"/>
      <c r="G35" s="9"/>
      <c r="H35" s="73"/>
      <c r="I35" s="94" t="s">
        <v>58</v>
      </c>
      <c r="J35" s="245">
        <f>'Step 2'!J35/12</f>
        <v>0</v>
      </c>
    </row>
    <row r="36" spans="1:11" ht="15" customHeight="1">
      <c r="A36" s="68"/>
      <c r="B36" s="69" t="s">
        <v>197</v>
      </c>
      <c r="C36" s="69"/>
      <c r="D36" s="70">
        <f>'Step 2'!D36/12</f>
        <v>208.33333333333334</v>
      </c>
      <c r="E36" s="100">
        <f t="shared" si="1"/>
        <v>5.0694514853492859E-3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2.0277805941397144E-4</v>
      </c>
      <c r="F38" s="88"/>
      <c r="G38" s="9"/>
      <c r="H38" s="73"/>
      <c r="I38" s="94" t="s">
        <v>99</v>
      </c>
      <c r="J38" s="245">
        <f>'Step 2'!J38/12</f>
        <v>3750</v>
      </c>
    </row>
    <row r="39" spans="1:11" ht="15" customHeight="1">
      <c r="A39" s="68"/>
      <c r="B39" s="69" t="s">
        <v>111</v>
      </c>
      <c r="C39" s="69"/>
      <c r="D39" s="70">
        <f>'Step 2'!D39/12</f>
        <v>62.5</v>
      </c>
      <c r="E39" s="100">
        <f t="shared" si="1"/>
        <v>1.5208354456047858E-3</v>
      </c>
      <c r="F39" s="88"/>
      <c r="G39" s="9"/>
      <c r="H39" s="73"/>
      <c r="I39" s="112" t="s">
        <v>34</v>
      </c>
      <c r="J39" s="223">
        <f>'Step 2'!J39</f>
        <v>1.5</v>
      </c>
    </row>
    <row r="40" spans="1:11" ht="15" customHeight="1" thickBot="1">
      <c r="A40" s="68"/>
      <c r="B40" s="69" t="s">
        <v>108</v>
      </c>
      <c r="C40" s="69"/>
      <c r="D40" s="70">
        <f>'Step 2'!D40/12</f>
        <v>83.333333333333329</v>
      </c>
      <c r="E40" s="100">
        <f t="shared" si="1"/>
        <v>2.0277805941397143E-3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4.0555611882794286E-3</v>
      </c>
      <c r="F42" s="74"/>
      <c r="G42" s="9"/>
      <c r="H42" s="68"/>
      <c r="I42" s="119" t="s">
        <v>149</v>
      </c>
      <c r="J42" s="248">
        <f>J35+J38+J41</f>
        <v>6500</v>
      </c>
    </row>
    <row r="43" spans="1:11" ht="15" customHeight="1" thickBot="1">
      <c r="A43" s="68"/>
      <c r="B43" s="69" t="s">
        <v>81</v>
      </c>
      <c r="C43" s="69"/>
      <c r="D43" s="70">
        <f>'Step 2'!D43/12</f>
        <v>125</v>
      </c>
      <c r="E43" s="100">
        <f t="shared" si="1"/>
        <v>3.0416708912095716E-3</v>
      </c>
      <c r="F43" s="69"/>
      <c r="G43" s="127"/>
      <c r="H43" s="93"/>
      <c r="I43" s="236" t="s">
        <v>181</v>
      </c>
      <c r="J43" s="237">
        <f>J31+J42</f>
        <v>20833.333333333332</v>
      </c>
    </row>
    <row r="44" spans="1:11" ht="15" customHeight="1">
      <c r="A44" s="68"/>
      <c r="B44" s="69" t="s">
        <v>90</v>
      </c>
      <c r="C44" s="69"/>
      <c r="D44" s="70">
        <f>'Step 2'!D44/12</f>
        <v>41.666666666666664</v>
      </c>
      <c r="E44" s="100">
        <f t="shared" si="1"/>
        <v>1.0138902970698571E-3</v>
      </c>
      <c r="F44" s="88"/>
      <c r="G44" s="130"/>
    </row>
    <row r="45" spans="1:11" ht="15" customHeight="1">
      <c r="A45" s="68"/>
      <c r="B45" s="69" t="s">
        <v>25</v>
      </c>
      <c r="C45" s="69"/>
      <c r="D45" s="70">
        <f>'Step 2'!D45/12</f>
        <v>166.66666666666666</v>
      </c>
      <c r="E45" s="100">
        <f t="shared" si="1"/>
        <v>4.0555611882794286E-3</v>
      </c>
      <c r="F45" s="88"/>
      <c r="G45" s="9"/>
    </row>
    <row r="46" spans="1:11" ht="15" customHeight="1">
      <c r="A46" s="68"/>
      <c r="B46" s="69" t="s">
        <v>26</v>
      </c>
      <c r="C46" s="69"/>
      <c r="D46" s="70">
        <f>'Step 2'!D46/12</f>
        <v>41.666666666666664</v>
      </c>
      <c r="E46" s="100">
        <f t="shared" si="1"/>
        <v>1.0138902970698571E-3</v>
      </c>
      <c r="F46" s="88"/>
      <c r="I46" s="131" t="s">
        <v>117</v>
      </c>
      <c r="J46" s="132">
        <f>SUM(D25,D60)</f>
        <v>41095.833333333328</v>
      </c>
      <c r="K46" s="133">
        <f>E60+E25</f>
        <v>1</v>
      </c>
    </row>
    <row r="47" spans="1:11" ht="15" customHeight="1">
      <c r="A47" s="68"/>
      <c r="B47" s="69" t="s">
        <v>225</v>
      </c>
      <c r="C47" s="69"/>
      <c r="D47" s="70">
        <f>'Step 2'!D47/12</f>
        <v>166.66666666666666</v>
      </c>
      <c r="E47" s="100">
        <f t="shared" si="1"/>
        <v>4.0555611882794286E-3</v>
      </c>
      <c r="F47" s="88"/>
      <c r="G47" s="142"/>
      <c r="I47" s="238"/>
      <c r="J47" s="239"/>
      <c r="K47" s="153"/>
    </row>
    <row r="48" spans="1:11" ht="15" customHeight="1">
      <c r="A48" s="68"/>
      <c r="B48" s="69" t="s">
        <v>5</v>
      </c>
      <c r="C48" s="69"/>
      <c r="D48" s="70">
        <f>'Step 2'!D48/12</f>
        <v>583.33333333333337</v>
      </c>
      <c r="E48" s="100">
        <f t="shared" si="1"/>
        <v>1.4194464158978001E-2</v>
      </c>
      <c r="F48" s="88"/>
      <c r="G48" s="142"/>
      <c r="I48" s="135" t="s">
        <v>174</v>
      </c>
      <c r="J48" s="136">
        <f>(D26-D60)</f>
        <v>1050.5952380952422</v>
      </c>
      <c r="K48" s="153"/>
    </row>
    <row r="49" spans="1:13" ht="15" customHeight="1">
      <c r="A49" s="68"/>
      <c r="B49" s="69" t="s">
        <v>154</v>
      </c>
      <c r="C49" s="69"/>
      <c r="D49" s="70">
        <f>'Step 2'!D49/12</f>
        <v>166.66666666666666</v>
      </c>
      <c r="E49" s="100">
        <f t="shared" si="1"/>
        <v>4.0555611882794286E-3</v>
      </c>
      <c r="F49" s="88"/>
      <c r="G49" s="142"/>
      <c r="K49" s="137"/>
      <c r="L49" s="138"/>
      <c r="M49" s="10"/>
    </row>
    <row r="50" spans="1:13" ht="15" customHeight="1">
      <c r="A50" s="68"/>
      <c r="B50" s="69" t="s">
        <v>66</v>
      </c>
      <c r="C50" s="69"/>
      <c r="D50" s="70">
        <f>'Step 2'!D50/12</f>
        <v>2000</v>
      </c>
      <c r="E50" s="100">
        <f t="shared" si="1"/>
        <v>4.8666734259353146E-2</v>
      </c>
      <c r="F50" s="88"/>
      <c r="G50" s="9"/>
      <c r="K50" s="137"/>
      <c r="L50" s="139"/>
      <c r="M50" s="110"/>
    </row>
    <row r="51" spans="1:13" ht="15" customHeight="1">
      <c r="A51" s="68"/>
      <c r="B51" s="69" t="s">
        <v>40</v>
      </c>
      <c r="C51" s="69"/>
      <c r="D51" s="70">
        <f>'Step 2'!D51/12</f>
        <v>166.66666666666666</v>
      </c>
      <c r="E51" s="100">
        <f t="shared" si="1"/>
        <v>4.0555611882794286E-3</v>
      </c>
      <c r="F51" s="88"/>
      <c r="L51" s="138"/>
      <c r="M51" s="10"/>
    </row>
    <row r="52" spans="1:13" ht="15" customHeight="1">
      <c r="A52" s="68"/>
      <c r="B52" s="69" t="s">
        <v>100</v>
      </c>
      <c r="C52" s="69"/>
      <c r="D52" s="70">
        <f>'Step 2'!D52/12</f>
        <v>666.66666666666663</v>
      </c>
      <c r="E52" s="100">
        <f t="shared" si="1"/>
        <v>1.6222244753117714E-2</v>
      </c>
      <c r="F52" s="88"/>
      <c r="G52" s="9"/>
      <c r="H52" s="377"/>
      <c r="I52" s="356"/>
      <c r="J52" s="356"/>
      <c r="L52" s="140"/>
      <c r="M52" s="10"/>
    </row>
    <row r="53" spans="1:13" ht="15" customHeight="1">
      <c r="A53" s="68"/>
      <c r="B53" s="69" t="s">
        <v>161</v>
      </c>
      <c r="C53" s="69"/>
      <c r="D53" s="70">
        <f>'Step 2'!D53/12</f>
        <v>41.666666666666664</v>
      </c>
      <c r="E53" s="100">
        <f t="shared" si="1"/>
        <v>1.0138902970698571E-3</v>
      </c>
      <c r="F53" s="88"/>
      <c r="H53" s="356"/>
      <c r="I53" s="356"/>
      <c r="J53" s="356"/>
      <c r="K53" s="196"/>
      <c r="L53" s="140"/>
    </row>
    <row r="54" spans="1:13" ht="15" customHeight="1">
      <c r="A54" s="68"/>
      <c r="B54" s="69" t="s">
        <v>173</v>
      </c>
      <c r="C54" s="69"/>
      <c r="D54" s="70">
        <f>'Step 2'!D54/12</f>
        <v>41.666666666666664</v>
      </c>
      <c r="E54" s="100">
        <f t="shared" si="1"/>
        <v>1.0138902970698571E-3</v>
      </c>
      <c r="F54" s="88"/>
      <c r="H54" s="356"/>
      <c r="I54" s="356"/>
      <c r="J54" s="356"/>
      <c r="K54" s="240"/>
      <c r="L54" s="141"/>
      <c r="M54" s="10"/>
    </row>
    <row r="55" spans="1:13" ht="15" customHeight="1">
      <c r="A55" s="68"/>
      <c r="B55" s="144" t="s">
        <v>101</v>
      </c>
      <c r="C55" s="69"/>
      <c r="D55" s="70">
        <f>'Step 2'!D55/12</f>
        <v>166.66666666666666</v>
      </c>
      <c r="E55" s="100">
        <f t="shared" si="1"/>
        <v>4.0555611882794286E-3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0.319476832606712</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206</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43375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44625</v>
      </c>
      <c r="E14" s="71"/>
      <c r="F14" s="88"/>
      <c r="G14" s="9"/>
      <c r="H14" s="73"/>
      <c r="I14" s="89" t="s">
        <v>171</v>
      </c>
      <c r="J14" s="226">
        <v>35</v>
      </c>
    </row>
    <row r="15" spans="1:11" ht="15" customHeight="1" thickBot="1">
      <c r="A15" s="96"/>
      <c r="B15" s="96"/>
      <c r="C15" s="96"/>
      <c r="D15" s="72"/>
      <c r="E15" s="71"/>
      <c r="F15" s="88"/>
      <c r="G15" s="9"/>
      <c r="H15" s="93"/>
      <c r="I15" s="94" t="s">
        <v>125</v>
      </c>
      <c r="J15" s="95">
        <f>J14*J13*J12</f>
        <v>700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5.9958029379434405E-3</v>
      </c>
      <c r="F18" s="88"/>
      <c r="G18" s="9"/>
      <c r="H18" s="375" t="s">
        <v>56</v>
      </c>
      <c r="I18" s="381"/>
      <c r="J18" s="67"/>
    </row>
    <row r="19" spans="1:10" ht="15" customHeight="1">
      <c r="A19" s="68"/>
      <c r="B19" s="69" t="s">
        <v>198</v>
      </c>
      <c r="C19" s="69"/>
      <c r="D19" s="174">
        <f>J15*J11</f>
        <v>10500</v>
      </c>
      <c r="E19" s="100">
        <f t="shared" si="0"/>
        <v>0.25182372339362447</v>
      </c>
      <c r="F19" s="88"/>
      <c r="G19" s="9"/>
      <c r="H19" s="73"/>
      <c r="I19" s="101" t="s">
        <v>133</v>
      </c>
      <c r="J19" s="223">
        <f>'Step 2'!J19</f>
        <v>1</v>
      </c>
    </row>
    <row r="20" spans="1:10" ht="15" customHeight="1" thickBot="1">
      <c r="A20" s="68"/>
      <c r="B20" s="69" t="s">
        <v>44</v>
      </c>
      <c r="C20" s="69"/>
      <c r="D20" s="174">
        <f>'Step 2'!D20/12</f>
        <v>250</v>
      </c>
      <c r="E20" s="100">
        <f t="shared" si="0"/>
        <v>5.9958029379434405E-3</v>
      </c>
      <c r="F20" s="72"/>
      <c r="G20" s="9"/>
      <c r="H20" s="73"/>
      <c r="I20" s="103" t="s">
        <v>134</v>
      </c>
      <c r="J20" s="227">
        <f>'Step 2'!J20/12</f>
        <v>6500</v>
      </c>
    </row>
    <row r="21" spans="1:10" ht="15" customHeight="1" thickBot="1">
      <c r="A21" s="68"/>
      <c r="B21" s="69" t="s">
        <v>56</v>
      </c>
      <c r="C21" s="69"/>
      <c r="D21" s="174">
        <f>J31</f>
        <v>14333.333333333332</v>
      </c>
      <c r="E21" s="100">
        <f t="shared" si="0"/>
        <v>0.34375936844209054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5.1563905266313589E-2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2.5981812731088239E-2</v>
      </c>
      <c r="F24" s="65"/>
      <c r="H24" s="73"/>
      <c r="I24" s="94" t="s">
        <v>114</v>
      </c>
      <c r="J24" s="245">
        <f>'Step 2'!J24/12</f>
        <v>2666.6666666666665</v>
      </c>
    </row>
    <row r="25" spans="1:10" ht="15" customHeight="1" thickTop="1">
      <c r="A25" s="68"/>
      <c r="B25" s="370" t="s">
        <v>45</v>
      </c>
      <c r="C25" s="371"/>
      <c r="D25" s="225">
        <f>SUM(D18:D24)</f>
        <v>28566.666666666664</v>
      </c>
      <c r="E25" s="111">
        <f t="shared" si="0"/>
        <v>0.68512041570900373</v>
      </c>
      <c r="F25" s="107"/>
      <c r="G25" s="9"/>
      <c r="H25" s="73"/>
      <c r="I25" s="112" t="s">
        <v>136</v>
      </c>
      <c r="J25" s="223">
        <f>'Step 2'!J25</f>
        <v>2</v>
      </c>
    </row>
    <row r="26" spans="1:10" ht="15" customHeight="1" thickBot="1">
      <c r="A26" s="86"/>
      <c r="B26" s="372" t="s">
        <v>61</v>
      </c>
      <c r="C26" s="346"/>
      <c r="D26" s="229">
        <f>D14-COGS</f>
        <v>16058.333333333336</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0.15589087638652946</v>
      </c>
      <c r="F30" s="88"/>
      <c r="G30" s="9"/>
      <c r="H30" s="73"/>
      <c r="I30" s="94" t="s">
        <v>210</v>
      </c>
      <c r="J30" s="245">
        <f>'Step 2'!J30/12</f>
        <v>1500</v>
      </c>
    </row>
    <row r="31" spans="1:10" ht="15" customHeight="1" thickBot="1">
      <c r="A31" s="68"/>
      <c r="B31" s="69" t="s">
        <v>105</v>
      </c>
      <c r="C31" s="69"/>
      <c r="D31" s="70">
        <f>'Step 2'!D31/12</f>
        <v>975</v>
      </c>
      <c r="E31" s="100">
        <f t="shared" ref="E31:E60" si="1">D31/$J$46</f>
        <v>2.3383631457979417E-2</v>
      </c>
      <c r="F31" s="88"/>
      <c r="G31" s="9"/>
      <c r="H31" s="118"/>
      <c r="I31" s="247" t="s">
        <v>89</v>
      </c>
      <c r="J31" s="120">
        <f>J21+J24+J27+J30</f>
        <v>14333.333333333332</v>
      </c>
    </row>
    <row r="32" spans="1:10" ht="15" customHeight="1" thickBot="1">
      <c r="A32" s="68"/>
      <c r="B32" s="69" t="s">
        <v>33</v>
      </c>
      <c r="C32" s="69"/>
      <c r="D32" s="70">
        <f>'Step 2'!D32/12</f>
        <v>541.66666666666663</v>
      </c>
      <c r="E32" s="100">
        <f t="shared" si="1"/>
        <v>1.2990906365544119E-2</v>
      </c>
      <c r="F32" s="88"/>
      <c r="G32" s="9"/>
      <c r="H32" s="121" t="s">
        <v>148</v>
      </c>
      <c r="I32" s="232"/>
      <c r="J32" s="233"/>
    </row>
    <row r="33" spans="1:11" ht="15" customHeight="1">
      <c r="A33" s="68"/>
      <c r="B33" s="69" t="s">
        <v>13</v>
      </c>
      <c r="C33" s="69"/>
      <c r="D33" s="70">
        <f>'Step 2'!D33/12</f>
        <v>166.66666666666666</v>
      </c>
      <c r="E33" s="100">
        <f t="shared" si="1"/>
        <v>3.9972019586289598E-3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9.9930048965723994E-4</v>
      </c>
      <c r="F35" s="88"/>
      <c r="G35" s="9"/>
      <c r="H35" s="73"/>
      <c r="I35" s="94" t="s">
        <v>58</v>
      </c>
      <c r="J35" s="245">
        <f>'Step 2'!J35/12</f>
        <v>0</v>
      </c>
    </row>
    <row r="36" spans="1:11" ht="15" customHeight="1">
      <c r="A36" s="68"/>
      <c r="B36" s="69" t="s">
        <v>197</v>
      </c>
      <c r="C36" s="69"/>
      <c r="D36" s="70">
        <f>'Step 2'!D36/12</f>
        <v>208.33333333333334</v>
      </c>
      <c r="E36" s="100">
        <f t="shared" si="1"/>
        <v>4.9965024482862006E-3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1.9986009793144803E-4</v>
      </c>
      <c r="F38" s="88"/>
      <c r="G38" s="9"/>
      <c r="H38" s="73"/>
      <c r="I38" s="94" t="s">
        <v>99</v>
      </c>
      <c r="J38" s="245">
        <f>'Step 2'!J38/12</f>
        <v>3750</v>
      </c>
    </row>
    <row r="39" spans="1:11" ht="15" customHeight="1">
      <c r="A39" s="68"/>
      <c r="B39" s="69" t="s">
        <v>111</v>
      </c>
      <c r="C39" s="69"/>
      <c r="D39" s="70">
        <f>'Step 2'!D39/12</f>
        <v>62.5</v>
      </c>
      <c r="E39" s="100">
        <f t="shared" si="1"/>
        <v>1.4989507344858601E-3</v>
      </c>
      <c r="F39" s="88"/>
      <c r="G39" s="9"/>
      <c r="H39" s="73"/>
      <c r="I39" s="112" t="s">
        <v>34</v>
      </c>
      <c r="J39" s="223">
        <f>'Step 2'!J39</f>
        <v>1.5</v>
      </c>
    </row>
    <row r="40" spans="1:11" ht="15" customHeight="1" thickBot="1">
      <c r="A40" s="68"/>
      <c r="B40" s="69" t="s">
        <v>108</v>
      </c>
      <c r="C40" s="69"/>
      <c r="D40" s="70">
        <f>'Step 2'!D40/12</f>
        <v>83.333333333333329</v>
      </c>
      <c r="E40" s="100">
        <f t="shared" si="1"/>
        <v>1.9986009793144799E-3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3.9972019586289598E-3</v>
      </c>
      <c r="F42" s="74"/>
      <c r="G42" s="9"/>
      <c r="H42" s="68"/>
      <c r="I42" s="119" t="s">
        <v>149</v>
      </c>
      <c r="J42" s="248">
        <f>J35+J38+J41</f>
        <v>6500</v>
      </c>
    </row>
    <row r="43" spans="1:11" ht="15" customHeight="1" thickBot="1">
      <c r="A43" s="68"/>
      <c r="B43" s="69" t="s">
        <v>81</v>
      </c>
      <c r="C43" s="69"/>
      <c r="D43" s="70">
        <f>'Step 2'!D43/12</f>
        <v>125</v>
      </c>
      <c r="E43" s="100">
        <f t="shared" si="1"/>
        <v>2.9979014689717203E-3</v>
      </c>
      <c r="F43" s="69"/>
      <c r="G43" s="127"/>
      <c r="H43" s="93"/>
      <c r="I43" s="236" t="s">
        <v>181</v>
      </c>
      <c r="J43" s="237">
        <f>J31+J42</f>
        <v>20833.333333333332</v>
      </c>
    </row>
    <row r="44" spans="1:11" ht="15" customHeight="1">
      <c r="A44" s="68"/>
      <c r="B44" s="69" t="s">
        <v>90</v>
      </c>
      <c r="C44" s="69"/>
      <c r="D44" s="70">
        <f>'Step 2'!D44/12</f>
        <v>41.666666666666664</v>
      </c>
      <c r="E44" s="100">
        <f t="shared" si="1"/>
        <v>9.9930048965723994E-4</v>
      </c>
      <c r="F44" s="88"/>
      <c r="G44" s="130"/>
    </row>
    <row r="45" spans="1:11" ht="15" customHeight="1">
      <c r="A45" s="68"/>
      <c r="B45" s="69" t="s">
        <v>25</v>
      </c>
      <c r="C45" s="69"/>
      <c r="D45" s="70">
        <f>'Step 2'!D45/12</f>
        <v>166.66666666666666</v>
      </c>
      <c r="E45" s="100">
        <f t="shared" si="1"/>
        <v>3.9972019586289598E-3</v>
      </c>
      <c r="F45" s="88"/>
      <c r="G45" s="9"/>
    </row>
    <row r="46" spans="1:11" ht="15" customHeight="1">
      <c r="A46" s="68"/>
      <c r="B46" s="69" t="s">
        <v>26</v>
      </c>
      <c r="C46" s="69"/>
      <c r="D46" s="70">
        <f>'Step 2'!D46/12</f>
        <v>41.666666666666664</v>
      </c>
      <c r="E46" s="100">
        <f t="shared" si="1"/>
        <v>9.9930048965723994E-4</v>
      </c>
      <c r="F46" s="88"/>
      <c r="I46" s="131" t="s">
        <v>117</v>
      </c>
      <c r="J46" s="132">
        <f>SUM(D25,D60)</f>
        <v>41695.833333333328</v>
      </c>
      <c r="K46" s="133">
        <f>E60+E25</f>
        <v>1</v>
      </c>
    </row>
    <row r="47" spans="1:11" ht="15" customHeight="1">
      <c r="A47" s="68"/>
      <c r="B47" s="69" t="s">
        <v>225</v>
      </c>
      <c r="C47" s="69"/>
      <c r="D47" s="70">
        <f>'Step 2'!D47/12</f>
        <v>166.66666666666666</v>
      </c>
      <c r="E47" s="100">
        <f t="shared" si="1"/>
        <v>3.9972019586289598E-3</v>
      </c>
      <c r="F47" s="88"/>
      <c r="G47" s="142"/>
      <c r="I47" s="238"/>
      <c r="J47" s="239"/>
      <c r="K47" s="153"/>
    </row>
    <row r="48" spans="1:11" ht="15" customHeight="1">
      <c r="A48" s="68"/>
      <c r="B48" s="69" t="s">
        <v>5</v>
      </c>
      <c r="C48" s="69"/>
      <c r="D48" s="70">
        <f>'Step 2'!D48/12</f>
        <v>583.33333333333337</v>
      </c>
      <c r="E48" s="100">
        <f t="shared" si="1"/>
        <v>1.3990206855201361E-2</v>
      </c>
      <c r="F48" s="88"/>
      <c r="G48" s="142"/>
      <c r="I48" s="135" t="s">
        <v>174</v>
      </c>
      <c r="J48" s="136">
        <f>(D26-D60)</f>
        <v>2929.1666666666697</v>
      </c>
      <c r="K48" s="153"/>
    </row>
    <row r="49" spans="1:13" ht="15" customHeight="1">
      <c r="A49" s="68"/>
      <c r="B49" s="69" t="s">
        <v>154</v>
      </c>
      <c r="C49" s="69"/>
      <c r="D49" s="70">
        <f>'Step 2'!D49/12</f>
        <v>166.66666666666666</v>
      </c>
      <c r="E49" s="100">
        <f t="shared" si="1"/>
        <v>3.9972019586289598E-3</v>
      </c>
      <c r="F49" s="88"/>
      <c r="G49" s="142"/>
      <c r="K49" s="137"/>
      <c r="L49" s="138"/>
      <c r="M49" s="10"/>
    </row>
    <row r="50" spans="1:13" ht="15" customHeight="1">
      <c r="A50" s="68"/>
      <c r="B50" s="69" t="s">
        <v>66</v>
      </c>
      <c r="C50" s="69"/>
      <c r="D50" s="70">
        <f>'Step 2'!D50/12</f>
        <v>2000</v>
      </c>
      <c r="E50" s="100">
        <f t="shared" si="1"/>
        <v>4.7966423503547524E-2</v>
      </c>
      <c r="F50" s="88"/>
      <c r="G50" s="9"/>
      <c r="K50" s="137"/>
      <c r="L50" s="139"/>
      <c r="M50" s="110"/>
    </row>
    <row r="51" spans="1:13" ht="15" customHeight="1">
      <c r="A51" s="68"/>
      <c r="B51" s="69" t="s">
        <v>40</v>
      </c>
      <c r="C51" s="69"/>
      <c r="D51" s="70">
        <f>'Step 2'!D51/12</f>
        <v>166.66666666666666</v>
      </c>
      <c r="E51" s="100">
        <f t="shared" si="1"/>
        <v>3.9972019586289598E-3</v>
      </c>
      <c r="F51" s="88"/>
      <c r="L51" s="138"/>
      <c r="M51" s="10"/>
    </row>
    <row r="52" spans="1:13" ht="15" customHeight="1">
      <c r="A52" s="68"/>
      <c r="B52" s="69" t="s">
        <v>100</v>
      </c>
      <c r="C52" s="69"/>
      <c r="D52" s="70">
        <f>'Step 2'!D52/12</f>
        <v>666.66666666666663</v>
      </c>
      <c r="E52" s="100">
        <f t="shared" si="1"/>
        <v>1.5988807834515839E-2</v>
      </c>
      <c r="F52" s="88"/>
      <c r="G52" s="9"/>
      <c r="H52" s="377"/>
      <c r="I52" s="356"/>
      <c r="J52" s="356"/>
      <c r="L52" s="140"/>
      <c r="M52" s="10"/>
    </row>
    <row r="53" spans="1:13" ht="15" customHeight="1">
      <c r="A53" s="68"/>
      <c r="B53" s="69" t="s">
        <v>161</v>
      </c>
      <c r="C53" s="69"/>
      <c r="D53" s="70">
        <f>'Step 2'!D53/12</f>
        <v>41.666666666666664</v>
      </c>
      <c r="E53" s="100">
        <f t="shared" si="1"/>
        <v>9.9930048965723994E-4</v>
      </c>
      <c r="F53" s="88"/>
      <c r="H53" s="356"/>
      <c r="I53" s="356"/>
      <c r="J53" s="356"/>
      <c r="K53" s="196"/>
      <c r="L53" s="140"/>
    </row>
    <row r="54" spans="1:13" ht="15" customHeight="1">
      <c r="A54" s="68"/>
      <c r="B54" s="69" t="s">
        <v>173</v>
      </c>
      <c r="C54" s="69"/>
      <c r="D54" s="70">
        <f>'Step 2'!D54/12</f>
        <v>41.666666666666664</v>
      </c>
      <c r="E54" s="100">
        <f t="shared" si="1"/>
        <v>9.9930048965723994E-4</v>
      </c>
      <c r="F54" s="88"/>
      <c r="H54" s="356"/>
      <c r="I54" s="356"/>
      <c r="J54" s="356"/>
      <c r="K54" s="240"/>
      <c r="L54" s="141"/>
      <c r="M54" s="10"/>
    </row>
    <row r="55" spans="1:13" ht="15" customHeight="1">
      <c r="A55" s="68"/>
      <c r="B55" s="144" t="s">
        <v>101</v>
      </c>
      <c r="C55" s="69"/>
      <c r="D55" s="70">
        <f>'Step 2'!D55/12</f>
        <v>166.66666666666666</v>
      </c>
      <c r="E55" s="100">
        <f t="shared" si="1"/>
        <v>3.9972019586289598E-3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0.31487958429099633</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72</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43375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44625</v>
      </c>
      <c r="E14" s="71"/>
      <c r="F14" s="88"/>
      <c r="G14" s="9"/>
      <c r="H14" s="73"/>
      <c r="I14" s="89" t="s">
        <v>171</v>
      </c>
      <c r="J14" s="226">
        <v>35</v>
      </c>
    </row>
    <row r="15" spans="1:11" ht="15" customHeight="1" thickBot="1">
      <c r="A15" s="96"/>
      <c r="B15" s="96"/>
      <c r="C15" s="96"/>
      <c r="D15" s="72"/>
      <c r="E15" s="71"/>
      <c r="F15" s="88"/>
      <c r="G15" s="9"/>
      <c r="H15" s="93"/>
      <c r="I15" s="94" t="s">
        <v>125</v>
      </c>
      <c r="J15" s="95">
        <f>J14*J13*J12</f>
        <v>700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5.9958029379434405E-3</v>
      </c>
      <c r="F18" s="88"/>
      <c r="G18" s="9"/>
      <c r="H18" s="375" t="s">
        <v>56</v>
      </c>
      <c r="I18" s="381"/>
      <c r="J18" s="67"/>
    </row>
    <row r="19" spans="1:10" ht="15" customHeight="1">
      <c r="A19" s="68"/>
      <c r="B19" s="69" t="s">
        <v>198</v>
      </c>
      <c r="C19" s="69"/>
      <c r="D19" s="174">
        <f>J15*J11</f>
        <v>10500</v>
      </c>
      <c r="E19" s="100">
        <f t="shared" si="0"/>
        <v>0.25182372339362447</v>
      </c>
      <c r="F19" s="88"/>
      <c r="G19" s="9"/>
      <c r="H19" s="73"/>
      <c r="I19" s="101" t="s">
        <v>133</v>
      </c>
      <c r="J19" s="223">
        <f>'Step 2'!J19</f>
        <v>1</v>
      </c>
    </row>
    <row r="20" spans="1:10" ht="15" customHeight="1" thickBot="1">
      <c r="A20" s="68"/>
      <c r="B20" s="69" t="s">
        <v>44</v>
      </c>
      <c r="C20" s="69"/>
      <c r="D20" s="174">
        <f>'Step 2'!D20/12</f>
        <v>250</v>
      </c>
      <c r="E20" s="100">
        <f t="shared" si="0"/>
        <v>5.9958029379434405E-3</v>
      </c>
      <c r="F20" s="72"/>
      <c r="G20" s="9"/>
      <c r="H20" s="73"/>
      <c r="I20" s="103" t="s">
        <v>134</v>
      </c>
      <c r="J20" s="227">
        <f>'Step 2'!J20/12</f>
        <v>6500</v>
      </c>
    </row>
    <row r="21" spans="1:10" ht="15" customHeight="1" thickBot="1">
      <c r="A21" s="68"/>
      <c r="B21" s="69" t="s">
        <v>56</v>
      </c>
      <c r="C21" s="69"/>
      <c r="D21" s="174">
        <f>J31</f>
        <v>14333.333333333332</v>
      </c>
      <c r="E21" s="100">
        <f t="shared" si="0"/>
        <v>0.34375936844209054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5.1563905266313589E-2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2.5981812731088239E-2</v>
      </c>
      <c r="F24" s="65"/>
      <c r="H24" s="73"/>
      <c r="I24" s="94" t="s">
        <v>114</v>
      </c>
      <c r="J24" s="245">
        <f>'Step 2'!J24/12</f>
        <v>2666.6666666666665</v>
      </c>
    </row>
    <row r="25" spans="1:10" ht="15" customHeight="1" thickTop="1">
      <c r="A25" s="68"/>
      <c r="B25" s="370" t="s">
        <v>45</v>
      </c>
      <c r="C25" s="371"/>
      <c r="D25" s="225">
        <f>SUM(D18:D24)</f>
        <v>28566.666666666664</v>
      </c>
      <c r="E25" s="111">
        <f t="shared" si="0"/>
        <v>0.68512041570900373</v>
      </c>
      <c r="F25" s="107"/>
      <c r="G25" s="9"/>
      <c r="H25" s="73"/>
      <c r="I25" s="112" t="s">
        <v>136</v>
      </c>
      <c r="J25" s="223">
        <f>'Step 2'!J25</f>
        <v>2</v>
      </c>
    </row>
    <row r="26" spans="1:10" ht="15" customHeight="1" thickBot="1">
      <c r="A26" s="86"/>
      <c r="B26" s="372" t="s">
        <v>61</v>
      </c>
      <c r="C26" s="346"/>
      <c r="D26" s="229">
        <f>D14-COGS</f>
        <v>16058.333333333336</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0.15589087638652946</v>
      </c>
      <c r="F30" s="88"/>
      <c r="G30" s="9"/>
      <c r="H30" s="73"/>
      <c r="I30" s="94" t="s">
        <v>210</v>
      </c>
      <c r="J30" s="245">
        <f>'Step 2'!J30/12</f>
        <v>1500</v>
      </c>
    </row>
    <row r="31" spans="1:10" ht="15" customHeight="1" thickBot="1">
      <c r="A31" s="68"/>
      <c r="B31" s="69" t="s">
        <v>105</v>
      </c>
      <c r="C31" s="69"/>
      <c r="D31" s="70">
        <f>'Step 2'!D31/12</f>
        <v>975</v>
      </c>
      <c r="E31" s="100">
        <f t="shared" ref="E31:E60" si="1">D31/$J$46</f>
        <v>2.3383631457979417E-2</v>
      </c>
      <c r="F31" s="88"/>
      <c r="G31" s="9"/>
      <c r="H31" s="118"/>
      <c r="I31" s="250" t="s">
        <v>89</v>
      </c>
      <c r="J31" s="120">
        <f>J21+J24+J27+J30</f>
        <v>14333.333333333332</v>
      </c>
    </row>
    <row r="32" spans="1:10" ht="15" customHeight="1" thickBot="1">
      <c r="A32" s="68"/>
      <c r="B32" s="69" t="s">
        <v>33</v>
      </c>
      <c r="C32" s="69"/>
      <c r="D32" s="70">
        <f>'Step 2'!D32/12</f>
        <v>541.66666666666663</v>
      </c>
      <c r="E32" s="100">
        <f t="shared" si="1"/>
        <v>1.2990906365544119E-2</v>
      </c>
      <c r="F32" s="88"/>
      <c r="G32" s="9"/>
      <c r="H32" s="121" t="s">
        <v>148</v>
      </c>
      <c r="I32" s="232"/>
      <c r="J32" s="233"/>
    </row>
    <row r="33" spans="1:11" ht="15" customHeight="1">
      <c r="A33" s="68"/>
      <c r="B33" s="69" t="s">
        <v>13</v>
      </c>
      <c r="C33" s="69"/>
      <c r="D33" s="70">
        <f>'Step 2'!D33/12</f>
        <v>166.66666666666666</v>
      </c>
      <c r="E33" s="100">
        <f t="shared" si="1"/>
        <v>3.9972019586289598E-3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9.9930048965723994E-4</v>
      </c>
      <c r="F35" s="88"/>
      <c r="G35" s="9"/>
      <c r="H35" s="73"/>
      <c r="I35" s="94" t="s">
        <v>58</v>
      </c>
      <c r="J35" s="245">
        <f>'Step 2'!J35/12</f>
        <v>0</v>
      </c>
    </row>
    <row r="36" spans="1:11" ht="15" customHeight="1">
      <c r="A36" s="68"/>
      <c r="B36" s="69" t="s">
        <v>197</v>
      </c>
      <c r="C36" s="69"/>
      <c r="D36" s="70">
        <f>'Step 2'!D36/12</f>
        <v>208.33333333333334</v>
      </c>
      <c r="E36" s="100">
        <f t="shared" si="1"/>
        <v>4.9965024482862006E-3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1.9986009793144803E-4</v>
      </c>
      <c r="F38" s="88"/>
      <c r="G38" s="9"/>
      <c r="H38" s="73"/>
      <c r="I38" s="94" t="s">
        <v>99</v>
      </c>
      <c r="J38" s="245">
        <f>'Step 2'!J38/12</f>
        <v>3750</v>
      </c>
    </row>
    <row r="39" spans="1:11" ht="15" customHeight="1">
      <c r="A39" s="68"/>
      <c r="B39" s="69" t="s">
        <v>111</v>
      </c>
      <c r="C39" s="69"/>
      <c r="D39" s="70">
        <f>'Step 2'!D39/12</f>
        <v>62.5</v>
      </c>
      <c r="E39" s="100">
        <f t="shared" si="1"/>
        <v>1.4989507344858601E-3</v>
      </c>
      <c r="F39" s="88"/>
      <c r="G39" s="9"/>
      <c r="H39" s="73"/>
      <c r="I39" s="112" t="s">
        <v>34</v>
      </c>
      <c r="J39" s="223">
        <f>'Step 2'!J39</f>
        <v>1.5</v>
      </c>
    </row>
    <row r="40" spans="1:11" ht="15" customHeight="1" thickBot="1">
      <c r="A40" s="68"/>
      <c r="B40" s="69" t="s">
        <v>108</v>
      </c>
      <c r="C40" s="69"/>
      <c r="D40" s="70">
        <f>'Step 2'!D40/12</f>
        <v>83.333333333333329</v>
      </c>
      <c r="E40" s="100">
        <f t="shared" si="1"/>
        <v>1.9986009793144799E-3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3.9972019586289598E-3</v>
      </c>
      <c r="F42" s="74"/>
      <c r="G42" s="9"/>
      <c r="H42" s="68"/>
      <c r="I42" s="185" t="s">
        <v>149</v>
      </c>
      <c r="J42" s="248">
        <f>J35+J38+J41</f>
        <v>6500</v>
      </c>
    </row>
    <row r="43" spans="1:11" ht="15" customHeight="1" thickBot="1">
      <c r="A43" s="68"/>
      <c r="B43" s="69" t="s">
        <v>81</v>
      </c>
      <c r="C43" s="69"/>
      <c r="D43" s="70">
        <f>'Step 2'!D43/12</f>
        <v>125</v>
      </c>
      <c r="E43" s="100">
        <f t="shared" si="1"/>
        <v>2.9979014689717203E-3</v>
      </c>
      <c r="F43" s="69"/>
      <c r="G43" s="127"/>
      <c r="H43" s="93"/>
      <c r="I43" s="236" t="s">
        <v>181</v>
      </c>
      <c r="J43" s="237">
        <f>J31+J42</f>
        <v>20833.333333333332</v>
      </c>
    </row>
    <row r="44" spans="1:11" ht="15" customHeight="1">
      <c r="A44" s="68"/>
      <c r="B44" s="69" t="s">
        <v>90</v>
      </c>
      <c r="C44" s="69"/>
      <c r="D44" s="70">
        <f>'Step 2'!D44/12</f>
        <v>41.666666666666664</v>
      </c>
      <c r="E44" s="100">
        <f t="shared" si="1"/>
        <v>9.9930048965723994E-4</v>
      </c>
      <c r="F44" s="88"/>
      <c r="G44" s="130"/>
    </row>
    <row r="45" spans="1:11" ht="15" customHeight="1">
      <c r="A45" s="68"/>
      <c r="B45" s="69" t="s">
        <v>25</v>
      </c>
      <c r="C45" s="69"/>
      <c r="D45" s="70">
        <f>'Step 2'!D45/12</f>
        <v>166.66666666666666</v>
      </c>
      <c r="E45" s="100">
        <f t="shared" si="1"/>
        <v>3.9972019586289598E-3</v>
      </c>
      <c r="F45" s="88"/>
      <c r="G45" s="9"/>
    </row>
    <row r="46" spans="1:11" ht="15" customHeight="1">
      <c r="A46" s="68"/>
      <c r="B46" s="69" t="s">
        <v>26</v>
      </c>
      <c r="C46" s="69"/>
      <c r="D46" s="70">
        <f>'Step 2'!D46/12</f>
        <v>41.666666666666664</v>
      </c>
      <c r="E46" s="100">
        <f t="shared" si="1"/>
        <v>9.9930048965723994E-4</v>
      </c>
      <c r="F46" s="88"/>
      <c r="I46" s="131" t="s">
        <v>117</v>
      </c>
      <c r="J46" s="132">
        <f>SUM(D25,D60)</f>
        <v>41695.833333333328</v>
      </c>
      <c r="K46" s="133">
        <f>E60+E25</f>
        <v>1</v>
      </c>
    </row>
    <row r="47" spans="1:11" ht="15" customHeight="1">
      <c r="A47" s="68"/>
      <c r="B47" s="69" t="s">
        <v>227</v>
      </c>
      <c r="C47" s="69"/>
      <c r="D47" s="70">
        <f>'Step 2'!D47/12</f>
        <v>166.66666666666666</v>
      </c>
      <c r="E47" s="100">
        <f t="shared" si="1"/>
        <v>3.9972019586289598E-3</v>
      </c>
      <c r="F47" s="88"/>
      <c r="G47" s="142"/>
      <c r="I47" s="238"/>
      <c r="J47" s="239"/>
      <c r="K47" s="153"/>
    </row>
    <row r="48" spans="1:11" ht="15" customHeight="1">
      <c r="A48" s="68"/>
      <c r="B48" s="69" t="s">
        <v>5</v>
      </c>
      <c r="C48" s="69"/>
      <c r="D48" s="70">
        <f>'Step 2'!D48/12</f>
        <v>583.33333333333337</v>
      </c>
      <c r="E48" s="100">
        <f t="shared" si="1"/>
        <v>1.3990206855201361E-2</v>
      </c>
      <c r="F48" s="88"/>
      <c r="G48" s="142"/>
      <c r="I48" s="135" t="s">
        <v>174</v>
      </c>
      <c r="J48" s="136">
        <f>(D26-D60)</f>
        <v>2929.1666666666697</v>
      </c>
      <c r="K48" s="153"/>
    </row>
    <row r="49" spans="1:13" ht="15" customHeight="1">
      <c r="A49" s="68"/>
      <c r="B49" s="69" t="s">
        <v>154</v>
      </c>
      <c r="C49" s="69"/>
      <c r="D49" s="70">
        <f>'Step 2'!D49/12</f>
        <v>166.66666666666666</v>
      </c>
      <c r="E49" s="100">
        <f t="shared" si="1"/>
        <v>3.9972019586289598E-3</v>
      </c>
      <c r="F49" s="88"/>
      <c r="G49" s="142"/>
      <c r="K49" s="137"/>
      <c r="L49" s="138"/>
      <c r="M49" s="10"/>
    </row>
    <row r="50" spans="1:13" ht="15" customHeight="1">
      <c r="A50" s="68"/>
      <c r="B50" s="69" t="s">
        <v>66</v>
      </c>
      <c r="C50" s="69"/>
      <c r="D50" s="70">
        <f>'Step 2'!D50/12</f>
        <v>2000</v>
      </c>
      <c r="E50" s="100">
        <f t="shared" si="1"/>
        <v>4.7966423503547524E-2</v>
      </c>
      <c r="F50" s="88"/>
      <c r="G50" s="9"/>
      <c r="K50" s="137"/>
      <c r="L50" s="139"/>
      <c r="M50" s="110"/>
    </row>
    <row r="51" spans="1:13" ht="15" customHeight="1">
      <c r="A51" s="68"/>
      <c r="B51" s="69" t="s">
        <v>40</v>
      </c>
      <c r="C51" s="69"/>
      <c r="D51" s="70">
        <f>'Step 2'!D51/12</f>
        <v>166.66666666666666</v>
      </c>
      <c r="E51" s="100">
        <f t="shared" si="1"/>
        <v>3.9972019586289598E-3</v>
      </c>
      <c r="F51" s="88"/>
      <c r="L51" s="138"/>
      <c r="M51" s="10"/>
    </row>
    <row r="52" spans="1:13" ht="15" customHeight="1">
      <c r="A52" s="68"/>
      <c r="B52" s="69" t="s">
        <v>100</v>
      </c>
      <c r="C52" s="69"/>
      <c r="D52" s="70">
        <f>'Step 2'!D52/12</f>
        <v>666.66666666666663</v>
      </c>
      <c r="E52" s="100">
        <f t="shared" si="1"/>
        <v>1.5988807834515839E-2</v>
      </c>
      <c r="F52" s="88"/>
      <c r="G52" s="9"/>
      <c r="H52" s="377"/>
      <c r="I52" s="356"/>
      <c r="J52" s="356"/>
      <c r="L52" s="140"/>
      <c r="M52" s="10"/>
    </row>
    <row r="53" spans="1:13" ht="15" customHeight="1">
      <c r="A53" s="68"/>
      <c r="B53" s="69" t="s">
        <v>161</v>
      </c>
      <c r="C53" s="69"/>
      <c r="D53" s="70">
        <f>'Step 2'!D53/12</f>
        <v>41.666666666666664</v>
      </c>
      <c r="E53" s="100">
        <f t="shared" si="1"/>
        <v>9.9930048965723994E-4</v>
      </c>
      <c r="F53" s="88"/>
      <c r="H53" s="356"/>
      <c r="I53" s="356"/>
      <c r="J53" s="356"/>
      <c r="K53" s="196"/>
      <c r="L53" s="140"/>
    </row>
    <row r="54" spans="1:13" ht="15" customHeight="1">
      <c r="A54" s="68"/>
      <c r="B54" s="69" t="s">
        <v>173</v>
      </c>
      <c r="C54" s="69"/>
      <c r="D54" s="70">
        <f>'Step 2'!D54/12</f>
        <v>41.666666666666664</v>
      </c>
      <c r="E54" s="100">
        <f t="shared" si="1"/>
        <v>9.9930048965723994E-4</v>
      </c>
      <c r="F54" s="88"/>
      <c r="H54" s="356"/>
      <c r="I54" s="356"/>
      <c r="J54" s="356"/>
      <c r="K54" s="240"/>
      <c r="L54" s="141"/>
      <c r="M54" s="10"/>
    </row>
    <row r="55" spans="1:13" ht="15" customHeight="1">
      <c r="A55" s="68"/>
      <c r="B55" s="144" t="s">
        <v>101</v>
      </c>
      <c r="C55" s="69"/>
      <c r="D55" s="70">
        <f>'Step 2'!D55/12</f>
        <v>166.66666666666666</v>
      </c>
      <c r="E55" s="100">
        <f t="shared" si="1"/>
        <v>3.9972019586289598E-3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0.31487958429099633</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86</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43375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44625</v>
      </c>
      <c r="E14" s="71"/>
      <c r="F14" s="88"/>
      <c r="G14" s="9"/>
      <c r="H14" s="73"/>
      <c r="I14" s="89" t="s">
        <v>171</v>
      </c>
      <c r="J14" s="226">
        <v>35</v>
      </c>
    </row>
    <row r="15" spans="1:11" ht="15" customHeight="1" thickBot="1">
      <c r="A15" s="96"/>
      <c r="B15" s="96"/>
      <c r="C15" s="96"/>
      <c r="D15" s="72"/>
      <c r="E15" s="71"/>
      <c r="F15" s="88"/>
      <c r="G15" s="9"/>
      <c r="H15" s="93"/>
      <c r="I15" s="94" t="s">
        <v>125</v>
      </c>
      <c r="J15" s="95">
        <f>J14*J13*J12</f>
        <v>700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5.9958029379434405E-3</v>
      </c>
      <c r="F18" s="88"/>
      <c r="G18" s="9"/>
      <c r="H18" s="375" t="s">
        <v>56</v>
      </c>
      <c r="I18" s="381"/>
      <c r="J18" s="67"/>
    </row>
    <row r="19" spans="1:10" ht="15" customHeight="1">
      <c r="A19" s="68"/>
      <c r="B19" s="69" t="s">
        <v>198</v>
      </c>
      <c r="C19" s="69"/>
      <c r="D19" s="174">
        <f>J15*J11</f>
        <v>10500</v>
      </c>
      <c r="E19" s="100">
        <f t="shared" si="0"/>
        <v>0.25182372339362447</v>
      </c>
      <c r="F19" s="88"/>
      <c r="G19" s="9"/>
      <c r="H19" s="73"/>
      <c r="I19" s="101" t="s">
        <v>133</v>
      </c>
      <c r="J19" s="223">
        <f>'Step 2'!J19</f>
        <v>1</v>
      </c>
    </row>
    <row r="20" spans="1:10" ht="15" customHeight="1" thickBot="1">
      <c r="A20" s="68"/>
      <c r="B20" s="69" t="s">
        <v>44</v>
      </c>
      <c r="C20" s="69"/>
      <c r="D20" s="174">
        <f>'Step 2'!D20/12</f>
        <v>250</v>
      </c>
      <c r="E20" s="100">
        <f t="shared" si="0"/>
        <v>5.9958029379434405E-3</v>
      </c>
      <c r="F20" s="72"/>
      <c r="G20" s="9"/>
      <c r="H20" s="73"/>
      <c r="I20" s="103" t="s">
        <v>134</v>
      </c>
      <c r="J20" s="227">
        <f>'Step 2'!J20/12</f>
        <v>6500</v>
      </c>
    </row>
    <row r="21" spans="1:10" ht="15" customHeight="1" thickBot="1">
      <c r="A21" s="68"/>
      <c r="B21" s="69" t="s">
        <v>56</v>
      </c>
      <c r="C21" s="69"/>
      <c r="D21" s="174">
        <f>J31</f>
        <v>14333.333333333332</v>
      </c>
      <c r="E21" s="100">
        <f t="shared" si="0"/>
        <v>0.34375936844209054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5.1563905266313589E-2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2.5981812731088239E-2</v>
      </c>
      <c r="F24" s="65"/>
      <c r="H24" s="73"/>
      <c r="I24" s="94" t="s">
        <v>114</v>
      </c>
      <c r="J24" s="245">
        <f>'Step 2'!J24/12</f>
        <v>2666.6666666666665</v>
      </c>
    </row>
    <row r="25" spans="1:10" ht="15" customHeight="1" thickTop="1">
      <c r="A25" s="68"/>
      <c r="B25" s="370" t="s">
        <v>45</v>
      </c>
      <c r="C25" s="371"/>
      <c r="D25" s="225">
        <f>SUM(D18:D24)</f>
        <v>28566.666666666664</v>
      </c>
      <c r="E25" s="111">
        <f t="shared" si="0"/>
        <v>0.68512041570900373</v>
      </c>
      <c r="F25" s="107"/>
      <c r="G25" s="9"/>
      <c r="H25" s="73"/>
      <c r="I25" s="112" t="s">
        <v>136</v>
      </c>
      <c r="J25" s="223">
        <f>'Step 2'!J25</f>
        <v>2</v>
      </c>
    </row>
    <row r="26" spans="1:10" ht="15" customHeight="1" thickBot="1">
      <c r="A26" s="86"/>
      <c r="B26" s="372" t="s">
        <v>61</v>
      </c>
      <c r="C26" s="346"/>
      <c r="D26" s="229">
        <f>D14-COGS</f>
        <v>16058.333333333336</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0.15589087638652946</v>
      </c>
      <c r="F30" s="88"/>
      <c r="G30" s="9"/>
      <c r="H30" s="73"/>
      <c r="I30" s="94" t="s">
        <v>210</v>
      </c>
      <c r="J30" s="245">
        <f>'Step 2'!J30/12</f>
        <v>1500</v>
      </c>
    </row>
    <row r="31" spans="1:10" ht="15" customHeight="1" thickBot="1">
      <c r="A31" s="68"/>
      <c r="B31" s="69" t="s">
        <v>105</v>
      </c>
      <c r="C31" s="69"/>
      <c r="D31" s="70">
        <f>'Step 2'!D31/12</f>
        <v>975</v>
      </c>
      <c r="E31" s="100">
        <f t="shared" ref="E31:E60" si="1">D31/$J$46</f>
        <v>2.3383631457979417E-2</v>
      </c>
      <c r="F31" s="88"/>
      <c r="G31" s="9"/>
      <c r="H31" s="118"/>
      <c r="I31" s="250" t="s">
        <v>89</v>
      </c>
      <c r="J31" s="120">
        <f>J21+J24+J27+J30</f>
        <v>14333.333333333332</v>
      </c>
    </row>
    <row r="32" spans="1:10" ht="15" customHeight="1" thickBot="1">
      <c r="A32" s="68"/>
      <c r="B32" s="69" t="s">
        <v>33</v>
      </c>
      <c r="C32" s="69"/>
      <c r="D32" s="70">
        <f>'Step 2'!D32/12</f>
        <v>541.66666666666663</v>
      </c>
      <c r="E32" s="100">
        <f t="shared" si="1"/>
        <v>1.2990906365544119E-2</v>
      </c>
      <c r="F32" s="88"/>
      <c r="G32" s="9"/>
      <c r="H32" s="121" t="s">
        <v>148</v>
      </c>
      <c r="I32" s="232"/>
      <c r="J32" s="233"/>
    </row>
    <row r="33" spans="1:11" ht="15" customHeight="1">
      <c r="A33" s="68"/>
      <c r="B33" s="69" t="s">
        <v>13</v>
      </c>
      <c r="C33" s="69"/>
      <c r="D33" s="70">
        <f>'Step 2'!D33/12</f>
        <v>166.66666666666666</v>
      </c>
      <c r="E33" s="100">
        <f t="shared" si="1"/>
        <v>3.9972019586289598E-3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9.9930048965723994E-4</v>
      </c>
      <c r="F35" s="88"/>
      <c r="G35" s="9"/>
      <c r="H35" s="73"/>
      <c r="I35" s="94" t="s">
        <v>58</v>
      </c>
      <c r="J35" s="245">
        <f>'Step 2'!J35/12</f>
        <v>0</v>
      </c>
    </row>
    <row r="36" spans="1:11" ht="15" customHeight="1">
      <c r="A36" s="68"/>
      <c r="B36" s="69" t="s">
        <v>197</v>
      </c>
      <c r="C36" s="69"/>
      <c r="D36" s="70">
        <f>'Step 2'!D36/12</f>
        <v>208.33333333333334</v>
      </c>
      <c r="E36" s="100">
        <f t="shared" si="1"/>
        <v>4.9965024482862006E-3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1.9986009793144803E-4</v>
      </c>
      <c r="F38" s="88"/>
      <c r="G38" s="9"/>
      <c r="H38" s="73"/>
      <c r="I38" s="94" t="s">
        <v>99</v>
      </c>
      <c r="J38" s="245">
        <f>'Step 2'!J38/12</f>
        <v>3750</v>
      </c>
    </row>
    <row r="39" spans="1:11" ht="15" customHeight="1">
      <c r="A39" s="68"/>
      <c r="B39" s="69" t="s">
        <v>111</v>
      </c>
      <c r="C39" s="69"/>
      <c r="D39" s="70">
        <f>'Step 2'!D39/12</f>
        <v>62.5</v>
      </c>
      <c r="E39" s="100">
        <f t="shared" si="1"/>
        <v>1.4989507344858601E-3</v>
      </c>
      <c r="F39" s="88"/>
      <c r="G39" s="9"/>
      <c r="H39" s="73"/>
      <c r="I39" s="112" t="s">
        <v>34</v>
      </c>
      <c r="J39" s="223">
        <f>'Step 2'!J39</f>
        <v>1.5</v>
      </c>
    </row>
    <row r="40" spans="1:11" ht="15" customHeight="1" thickBot="1">
      <c r="A40" s="68"/>
      <c r="B40" s="69" t="s">
        <v>108</v>
      </c>
      <c r="C40" s="69"/>
      <c r="D40" s="70">
        <f>'Step 2'!D40/12</f>
        <v>83.333333333333329</v>
      </c>
      <c r="E40" s="100">
        <f t="shared" si="1"/>
        <v>1.9986009793144799E-3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3.9972019586289598E-3</v>
      </c>
      <c r="F42" s="74"/>
      <c r="G42" s="9"/>
      <c r="H42" s="68"/>
      <c r="I42" s="185" t="s">
        <v>149</v>
      </c>
      <c r="J42" s="248">
        <f>J35+J38+J41</f>
        <v>6500</v>
      </c>
    </row>
    <row r="43" spans="1:11" ht="15" customHeight="1" thickBot="1">
      <c r="A43" s="68"/>
      <c r="B43" s="69" t="s">
        <v>81</v>
      </c>
      <c r="C43" s="69"/>
      <c r="D43" s="70">
        <f>'Step 2'!D43/12</f>
        <v>125</v>
      </c>
      <c r="E43" s="100">
        <f t="shared" si="1"/>
        <v>2.9979014689717203E-3</v>
      </c>
      <c r="F43" s="69"/>
      <c r="G43" s="127"/>
      <c r="H43" s="93"/>
      <c r="I43" s="236" t="s">
        <v>181</v>
      </c>
      <c r="J43" s="237">
        <f>J31+J42</f>
        <v>20833.333333333332</v>
      </c>
    </row>
    <row r="44" spans="1:11" ht="15" customHeight="1">
      <c r="A44" s="68"/>
      <c r="B44" s="69" t="s">
        <v>90</v>
      </c>
      <c r="C44" s="69"/>
      <c r="D44" s="70">
        <f>'Step 2'!D44/12</f>
        <v>41.666666666666664</v>
      </c>
      <c r="E44" s="100">
        <f t="shared" si="1"/>
        <v>9.9930048965723994E-4</v>
      </c>
      <c r="F44" s="88"/>
      <c r="G44" s="130"/>
    </row>
    <row r="45" spans="1:11" ht="15" customHeight="1">
      <c r="A45" s="68"/>
      <c r="B45" s="69" t="s">
        <v>25</v>
      </c>
      <c r="C45" s="69"/>
      <c r="D45" s="70">
        <f>'Step 2'!D45/12</f>
        <v>166.66666666666666</v>
      </c>
      <c r="E45" s="100">
        <f t="shared" si="1"/>
        <v>3.9972019586289598E-3</v>
      </c>
      <c r="F45" s="88"/>
      <c r="G45" s="9"/>
    </row>
    <row r="46" spans="1:11" ht="15" customHeight="1">
      <c r="A46" s="68"/>
      <c r="B46" s="69" t="s">
        <v>26</v>
      </c>
      <c r="C46" s="69"/>
      <c r="D46" s="70">
        <f>'Step 2'!D46/12</f>
        <v>41.666666666666664</v>
      </c>
      <c r="E46" s="100">
        <f t="shared" si="1"/>
        <v>9.9930048965723994E-4</v>
      </c>
      <c r="F46" s="88"/>
      <c r="I46" s="131" t="s">
        <v>117</v>
      </c>
      <c r="J46" s="132">
        <f>SUM(D25,D60)</f>
        <v>41695.833333333328</v>
      </c>
      <c r="K46" s="133">
        <f>E60+E25</f>
        <v>1</v>
      </c>
    </row>
    <row r="47" spans="1:11" ht="15" customHeight="1">
      <c r="A47" s="68"/>
      <c r="B47" s="69" t="s">
        <v>225</v>
      </c>
      <c r="C47" s="69"/>
      <c r="D47" s="70">
        <f>'Step 2'!D47/12</f>
        <v>166.66666666666666</v>
      </c>
      <c r="E47" s="100">
        <f t="shared" si="1"/>
        <v>3.9972019586289598E-3</v>
      </c>
      <c r="F47" s="88"/>
      <c r="G47" s="142"/>
      <c r="I47" s="238"/>
      <c r="J47" s="239"/>
      <c r="K47" s="153"/>
    </row>
    <row r="48" spans="1:11" ht="15" customHeight="1">
      <c r="A48" s="68"/>
      <c r="B48" s="69" t="s">
        <v>5</v>
      </c>
      <c r="C48" s="69"/>
      <c r="D48" s="70">
        <f>'Step 2'!D48/12</f>
        <v>583.33333333333337</v>
      </c>
      <c r="E48" s="100">
        <f t="shared" si="1"/>
        <v>1.3990206855201361E-2</v>
      </c>
      <c r="F48" s="88"/>
      <c r="G48" s="142"/>
      <c r="I48" s="135" t="s">
        <v>174</v>
      </c>
      <c r="J48" s="136">
        <f>(D26-D60)</f>
        <v>2929.1666666666697</v>
      </c>
      <c r="K48" s="153"/>
    </row>
    <row r="49" spans="1:13" ht="15" customHeight="1">
      <c r="A49" s="68"/>
      <c r="B49" s="69" t="s">
        <v>154</v>
      </c>
      <c r="C49" s="69"/>
      <c r="D49" s="70">
        <f>'Step 2'!D49/12</f>
        <v>166.66666666666666</v>
      </c>
      <c r="E49" s="100">
        <f t="shared" si="1"/>
        <v>3.9972019586289598E-3</v>
      </c>
      <c r="F49" s="88"/>
      <c r="G49" s="142"/>
      <c r="K49" s="137"/>
      <c r="L49" s="138"/>
      <c r="M49" s="10"/>
    </row>
    <row r="50" spans="1:13" ht="15" customHeight="1">
      <c r="A50" s="68"/>
      <c r="B50" s="69" t="s">
        <v>66</v>
      </c>
      <c r="C50" s="69"/>
      <c r="D50" s="70">
        <f>'Step 2'!D50/12</f>
        <v>2000</v>
      </c>
      <c r="E50" s="100">
        <f t="shared" si="1"/>
        <v>4.7966423503547524E-2</v>
      </c>
      <c r="F50" s="88"/>
      <c r="G50" s="9"/>
      <c r="K50" s="137"/>
      <c r="L50" s="139"/>
      <c r="M50" s="110"/>
    </row>
    <row r="51" spans="1:13" ht="15" customHeight="1">
      <c r="A51" s="68"/>
      <c r="B51" s="69" t="s">
        <v>40</v>
      </c>
      <c r="C51" s="69"/>
      <c r="D51" s="70">
        <f>'Step 2'!D51/12</f>
        <v>166.66666666666666</v>
      </c>
      <c r="E51" s="100">
        <f t="shared" si="1"/>
        <v>3.9972019586289598E-3</v>
      </c>
      <c r="F51" s="88"/>
      <c r="L51" s="138"/>
      <c r="M51" s="10"/>
    </row>
    <row r="52" spans="1:13" ht="15" customHeight="1">
      <c r="A52" s="68"/>
      <c r="B52" s="69" t="s">
        <v>100</v>
      </c>
      <c r="C52" s="69"/>
      <c r="D52" s="70">
        <f>'Step 2'!D52/12</f>
        <v>666.66666666666663</v>
      </c>
      <c r="E52" s="100">
        <f t="shared" si="1"/>
        <v>1.5988807834515839E-2</v>
      </c>
      <c r="F52" s="88"/>
      <c r="G52" s="9"/>
      <c r="H52" s="377"/>
      <c r="I52" s="356"/>
      <c r="J52" s="356"/>
      <c r="L52" s="140"/>
      <c r="M52" s="10"/>
    </row>
    <row r="53" spans="1:13" ht="15" customHeight="1">
      <c r="A53" s="68"/>
      <c r="B53" s="69" t="s">
        <v>161</v>
      </c>
      <c r="C53" s="69"/>
      <c r="D53" s="70">
        <f>'Step 2'!D53/12</f>
        <v>41.666666666666664</v>
      </c>
      <c r="E53" s="100">
        <f t="shared" si="1"/>
        <v>9.9930048965723994E-4</v>
      </c>
      <c r="F53" s="88"/>
      <c r="H53" s="356"/>
      <c r="I53" s="356"/>
      <c r="J53" s="356"/>
      <c r="K53" s="196"/>
      <c r="L53" s="140"/>
    </row>
    <row r="54" spans="1:13" ht="15" customHeight="1">
      <c r="A54" s="68"/>
      <c r="B54" s="69" t="s">
        <v>173</v>
      </c>
      <c r="C54" s="69"/>
      <c r="D54" s="70">
        <f>'Step 2'!D54/12</f>
        <v>41.666666666666664</v>
      </c>
      <c r="E54" s="100">
        <f t="shared" si="1"/>
        <v>9.9930048965723994E-4</v>
      </c>
      <c r="F54" s="88"/>
      <c r="H54" s="356"/>
      <c r="I54" s="356"/>
      <c r="J54" s="356"/>
      <c r="K54" s="240"/>
      <c r="L54" s="141"/>
      <c r="M54" s="10"/>
    </row>
    <row r="55" spans="1:13" ht="15" customHeight="1">
      <c r="A55" s="68"/>
      <c r="B55" s="144" t="s">
        <v>101</v>
      </c>
      <c r="C55" s="69"/>
      <c r="D55" s="70">
        <f>'Step 2'!D55/12</f>
        <v>166.66666666666666</v>
      </c>
      <c r="E55" s="100">
        <f t="shared" si="1"/>
        <v>3.9972019586289598E-3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0.31487958429099633</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87</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43375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44625</v>
      </c>
      <c r="E14" s="71"/>
      <c r="F14" s="88"/>
      <c r="G14" s="9"/>
      <c r="H14" s="73"/>
      <c r="I14" s="89" t="s">
        <v>171</v>
      </c>
      <c r="J14" s="226">
        <v>35</v>
      </c>
    </row>
    <row r="15" spans="1:11" ht="15" customHeight="1" thickBot="1">
      <c r="A15" s="96"/>
      <c r="B15" s="96"/>
      <c r="C15" s="96"/>
      <c r="D15" s="72"/>
      <c r="E15" s="71"/>
      <c r="F15" s="88"/>
      <c r="G15" s="9"/>
      <c r="H15" s="93"/>
      <c r="I15" s="94" t="s">
        <v>125</v>
      </c>
      <c r="J15" s="95">
        <f>J14*J13*J12</f>
        <v>700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5.9958029379434405E-3</v>
      </c>
      <c r="F18" s="88"/>
      <c r="G18" s="9"/>
      <c r="H18" s="375" t="s">
        <v>56</v>
      </c>
      <c r="I18" s="381"/>
      <c r="J18" s="67"/>
    </row>
    <row r="19" spans="1:10" ht="15" customHeight="1">
      <c r="A19" s="68"/>
      <c r="B19" s="69" t="s">
        <v>198</v>
      </c>
      <c r="C19" s="69"/>
      <c r="D19" s="174">
        <f>J15*J11</f>
        <v>10500</v>
      </c>
      <c r="E19" s="100">
        <f t="shared" si="0"/>
        <v>0.25182372339362447</v>
      </c>
      <c r="F19" s="88"/>
      <c r="G19" s="9"/>
      <c r="H19" s="73"/>
      <c r="I19" s="101" t="s">
        <v>133</v>
      </c>
      <c r="J19" s="223">
        <f>'Step 2'!J19</f>
        <v>1</v>
      </c>
    </row>
    <row r="20" spans="1:10" ht="15" customHeight="1" thickBot="1">
      <c r="A20" s="68"/>
      <c r="B20" s="69" t="s">
        <v>44</v>
      </c>
      <c r="C20" s="69"/>
      <c r="D20" s="174">
        <f>'Step 2'!D20/12</f>
        <v>250</v>
      </c>
      <c r="E20" s="100">
        <f t="shared" si="0"/>
        <v>5.9958029379434405E-3</v>
      </c>
      <c r="F20" s="72"/>
      <c r="G20" s="9"/>
      <c r="H20" s="73"/>
      <c r="I20" s="103" t="s">
        <v>134</v>
      </c>
      <c r="J20" s="227">
        <f>'Step 2'!J20/12</f>
        <v>6500</v>
      </c>
    </row>
    <row r="21" spans="1:10" ht="15" customHeight="1" thickBot="1">
      <c r="A21" s="68"/>
      <c r="B21" s="69" t="s">
        <v>56</v>
      </c>
      <c r="C21" s="69"/>
      <c r="D21" s="174">
        <f>J31</f>
        <v>14333.333333333332</v>
      </c>
      <c r="E21" s="100">
        <f t="shared" si="0"/>
        <v>0.34375936844209054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5.1563905266313589E-2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2.5981812731088239E-2</v>
      </c>
      <c r="F24" s="65"/>
      <c r="H24" s="73"/>
      <c r="I24" s="94" t="s">
        <v>114</v>
      </c>
      <c r="J24" s="245">
        <f>'Step 2'!J24/12</f>
        <v>2666.6666666666665</v>
      </c>
    </row>
    <row r="25" spans="1:10" ht="15" customHeight="1" thickTop="1">
      <c r="A25" s="68"/>
      <c r="B25" s="370" t="s">
        <v>45</v>
      </c>
      <c r="C25" s="371"/>
      <c r="D25" s="225">
        <f>SUM(D18:D24)</f>
        <v>28566.666666666664</v>
      </c>
      <c r="E25" s="111">
        <f t="shared" si="0"/>
        <v>0.68512041570900373</v>
      </c>
      <c r="F25" s="107"/>
      <c r="G25" s="9"/>
      <c r="H25" s="73"/>
      <c r="I25" s="112" t="s">
        <v>136</v>
      </c>
      <c r="J25" s="223">
        <f>'Step 2'!J25</f>
        <v>2</v>
      </c>
    </row>
    <row r="26" spans="1:10" ht="15" customHeight="1" thickBot="1">
      <c r="A26" s="86"/>
      <c r="B26" s="372" t="s">
        <v>61</v>
      </c>
      <c r="C26" s="346"/>
      <c r="D26" s="229">
        <f>D14-COGS</f>
        <v>16058.333333333336</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0.15589087638652946</v>
      </c>
      <c r="F30" s="88"/>
      <c r="G30" s="9"/>
      <c r="H30" s="73"/>
      <c r="I30" s="94" t="s">
        <v>210</v>
      </c>
      <c r="J30" s="245">
        <f>'Step 2'!J30/12</f>
        <v>1500</v>
      </c>
    </row>
    <row r="31" spans="1:10" ht="15" customHeight="1" thickBot="1">
      <c r="A31" s="68"/>
      <c r="B31" s="69" t="s">
        <v>105</v>
      </c>
      <c r="C31" s="69"/>
      <c r="D31" s="70">
        <f>'Step 2'!D31/12</f>
        <v>975</v>
      </c>
      <c r="E31" s="100">
        <f t="shared" ref="E31:E60" si="1">D31/$J$46</f>
        <v>2.3383631457979417E-2</v>
      </c>
      <c r="F31" s="88"/>
      <c r="G31" s="9"/>
      <c r="H31" s="118"/>
      <c r="I31" s="250" t="s">
        <v>89</v>
      </c>
      <c r="J31" s="120">
        <f>J21+J24+J27+J30</f>
        <v>14333.333333333332</v>
      </c>
    </row>
    <row r="32" spans="1:10" ht="15" customHeight="1" thickBot="1">
      <c r="A32" s="68"/>
      <c r="B32" s="69" t="s">
        <v>33</v>
      </c>
      <c r="C32" s="69"/>
      <c r="D32" s="70">
        <f>'Step 2'!D32/12</f>
        <v>541.66666666666663</v>
      </c>
      <c r="E32" s="100">
        <f t="shared" si="1"/>
        <v>1.2990906365544119E-2</v>
      </c>
      <c r="F32" s="88"/>
      <c r="G32" s="9"/>
      <c r="H32" s="121" t="s">
        <v>148</v>
      </c>
      <c r="I32" s="232"/>
      <c r="J32" s="233"/>
    </row>
    <row r="33" spans="1:11" ht="15" customHeight="1">
      <c r="A33" s="68"/>
      <c r="B33" s="69" t="s">
        <v>13</v>
      </c>
      <c r="C33" s="69"/>
      <c r="D33" s="70">
        <f>'Step 2'!D33/12</f>
        <v>166.66666666666666</v>
      </c>
      <c r="E33" s="100">
        <f t="shared" si="1"/>
        <v>3.9972019586289598E-3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9.9930048965723994E-4</v>
      </c>
      <c r="F35" s="88"/>
      <c r="G35" s="9"/>
      <c r="H35" s="73"/>
      <c r="I35" s="94" t="s">
        <v>58</v>
      </c>
      <c r="J35" s="245">
        <f>'Step 2'!J35/12</f>
        <v>0</v>
      </c>
    </row>
    <row r="36" spans="1:11" ht="15" customHeight="1">
      <c r="A36" s="68"/>
      <c r="B36" s="69" t="s">
        <v>197</v>
      </c>
      <c r="C36" s="69"/>
      <c r="D36" s="70">
        <f>'Step 2'!D36/12</f>
        <v>208.33333333333334</v>
      </c>
      <c r="E36" s="100">
        <f t="shared" si="1"/>
        <v>4.9965024482862006E-3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1.9986009793144803E-4</v>
      </c>
      <c r="F38" s="88"/>
      <c r="G38" s="9"/>
      <c r="H38" s="73"/>
      <c r="I38" s="94" t="s">
        <v>99</v>
      </c>
      <c r="J38" s="245">
        <f>'Step 2'!J38/12</f>
        <v>3750</v>
      </c>
    </row>
    <row r="39" spans="1:11" ht="15" customHeight="1">
      <c r="A39" s="68"/>
      <c r="B39" s="69" t="s">
        <v>111</v>
      </c>
      <c r="C39" s="69"/>
      <c r="D39" s="70">
        <f>'Step 2'!D39/12</f>
        <v>62.5</v>
      </c>
      <c r="E39" s="100">
        <f t="shared" si="1"/>
        <v>1.4989507344858601E-3</v>
      </c>
      <c r="F39" s="88"/>
      <c r="G39" s="9"/>
      <c r="H39" s="73"/>
      <c r="I39" s="112" t="s">
        <v>34</v>
      </c>
      <c r="J39" s="223">
        <f>'Step 2'!J39</f>
        <v>1.5</v>
      </c>
    </row>
    <row r="40" spans="1:11" ht="15" customHeight="1" thickBot="1">
      <c r="A40" s="68"/>
      <c r="B40" s="69" t="s">
        <v>108</v>
      </c>
      <c r="C40" s="69"/>
      <c r="D40" s="70">
        <f>'Step 2'!D40/12</f>
        <v>83.333333333333329</v>
      </c>
      <c r="E40" s="100">
        <f t="shared" si="1"/>
        <v>1.9986009793144799E-3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3.9972019586289598E-3</v>
      </c>
      <c r="F42" s="74"/>
      <c r="G42" s="9"/>
      <c r="H42" s="68"/>
      <c r="I42" s="185" t="s">
        <v>149</v>
      </c>
      <c r="J42" s="248">
        <f>J35+J38+J41</f>
        <v>6500</v>
      </c>
    </row>
    <row r="43" spans="1:11" ht="15" customHeight="1" thickBot="1">
      <c r="A43" s="68"/>
      <c r="B43" s="69" t="s">
        <v>81</v>
      </c>
      <c r="C43" s="69"/>
      <c r="D43" s="70">
        <f>'Step 2'!D43/12</f>
        <v>125</v>
      </c>
      <c r="E43" s="100">
        <f t="shared" si="1"/>
        <v>2.9979014689717203E-3</v>
      </c>
      <c r="F43" s="69"/>
      <c r="G43" s="127"/>
      <c r="H43" s="93"/>
      <c r="I43" s="236" t="s">
        <v>181</v>
      </c>
      <c r="J43" s="237">
        <f>J31+J42</f>
        <v>20833.333333333332</v>
      </c>
    </row>
    <row r="44" spans="1:11" ht="15" customHeight="1">
      <c r="A44" s="68"/>
      <c r="B44" s="69" t="s">
        <v>90</v>
      </c>
      <c r="C44" s="69"/>
      <c r="D44" s="70">
        <f>'Step 2'!D44/12</f>
        <v>41.666666666666664</v>
      </c>
      <c r="E44" s="100">
        <f t="shared" si="1"/>
        <v>9.9930048965723994E-4</v>
      </c>
      <c r="F44" s="88"/>
      <c r="G44" s="130"/>
    </row>
    <row r="45" spans="1:11" ht="15" customHeight="1">
      <c r="A45" s="68"/>
      <c r="B45" s="69" t="s">
        <v>25</v>
      </c>
      <c r="C45" s="69"/>
      <c r="D45" s="70">
        <f>'Step 2'!D45/12</f>
        <v>166.66666666666666</v>
      </c>
      <c r="E45" s="100">
        <f t="shared" si="1"/>
        <v>3.9972019586289598E-3</v>
      </c>
      <c r="F45" s="88"/>
      <c r="G45" s="9"/>
    </row>
    <row r="46" spans="1:11" ht="15" customHeight="1">
      <c r="A46" s="68"/>
      <c r="B46" s="69" t="s">
        <v>26</v>
      </c>
      <c r="C46" s="69"/>
      <c r="D46" s="70">
        <f>'Step 2'!D46/12</f>
        <v>41.666666666666664</v>
      </c>
      <c r="E46" s="100">
        <f t="shared" si="1"/>
        <v>9.9930048965723994E-4</v>
      </c>
      <c r="F46" s="88"/>
      <c r="I46" s="131" t="s">
        <v>117</v>
      </c>
      <c r="J46" s="132">
        <f>SUM(D25,D60)</f>
        <v>41695.833333333328</v>
      </c>
      <c r="K46" s="133">
        <f>E60+E25</f>
        <v>1</v>
      </c>
    </row>
    <row r="47" spans="1:11" ht="15" customHeight="1">
      <c r="A47" s="68"/>
      <c r="B47" s="69" t="s">
        <v>228</v>
      </c>
      <c r="C47" s="69"/>
      <c r="D47" s="70">
        <f>'Step 2'!D47/12</f>
        <v>166.66666666666666</v>
      </c>
      <c r="E47" s="100">
        <f t="shared" si="1"/>
        <v>3.9972019586289598E-3</v>
      </c>
      <c r="F47" s="88"/>
      <c r="G47" s="142"/>
      <c r="I47" s="238"/>
      <c r="J47" s="239"/>
      <c r="K47" s="153"/>
    </row>
    <row r="48" spans="1:11" ht="15" customHeight="1">
      <c r="A48" s="68"/>
      <c r="B48" s="69" t="s">
        <v>5</v>
      </c>
      <c r="C48" s="69"/>
      <c r="D48" s="70">
        <f>'Step 2'!D48/12</f>
        <v>583.33333333333337</v>
      </c>
      <c r="E48" s="100">
        <f t="shared" si="1"/>
        <v>1.3990206855201361E-2</v>
      </c>
      <c r="F48" s="88"/>
      <c r="G48" s="142"/>
      <c r="I48" s="135" t="s">
        <v>174</v>
      </c>
      <c r="J48" s="136">
        <f>(D26-D60)</f>
        <v>2929.1666666666697</v>
      </c>
      <c r="K48" s="153"/>
    </row>
    <row r="49" spans="1:13" ht="15" customHeight="1">
      <c r="A49" s="68"/>
      <c r="B49" s="69" t="s">
        <v>154</v>
      </c>
      <c r="C49" s="69"/>
      <c r="D49" s="70">
        <f>'Step 2'!D49/12</f>
        <v>166.66666666666666</v>
      </c>
      <c r="E49" s="100">
        <f t="shared" si="1"/>
        <v>3.9972019586289598E-3</v>
      </c>
      <c r="F49" s="88"/>
      <c r="G49" s="142"/>
      <c r="K49" s="137"/>
      <c r="L49" s="138"/>
      <c r="M49" s="10"/>
    </row>
    <row r="50" spans="1:13" ht="15" customHeight="1">
      <c r="A50" s="68"/>
      <c r="B50" s="69" t="s">
        <v>66</v>
      </c>
      <c r="C50" s="69"/>
      <c r="D50" s="70">
        <f>'Step 2'!D50/12</f>
        <v>2000</v>
      </c>
      <c r="E50" s="100">
        <f t="shared" si="1"/>
        <v>4.7966423503547524E-2</v>
      </c>
      <c r="F50" s="88"/>
      <c r="G50" s="9"/>
      <c r="K50" s="137"/>
      <c r="L50" s="139"/>
      <c r="M50" s="110"/>
    </row>
    <row r="51" spans="1:13" ht="15" customHeight="1">
      <c r="A51" s="68"/>
      <c r="B51" s="69" t="s">
        <v>40</v>
      </c>
      <c r="C51" s="69"/>
      <c r="D51" s="70">
        <f>'Step 2'!D51/12</f>
        <v>166.66666666666666</v>
      </c>
      <c r="E51" s="100">
        <f t="shared" si="1"/>
        <v>3.9972019586289598E-3</v>
      </c>
      <c r="F51" s="88"/>
      <c r="L51" s="138"/>
      <c r="M51" s="10"/>
    </row>
    <row r="52" spans="1:13" ht="15" customHeight="1">
      <c r="A52" s="68"/>
      <c r="B52" s="69" t="s">
        <v>100</v>
      </c>
      <c r="C52" s="69"/>
      <c r="D52" s="70">
        <f>'Step 2'!D52/12</f>
        <v>666.66666666666663</v>
      </c>
      <c r="E52" s="100">
        <f t="shared" si="1"/>
        <v>1.5988807834515839E-2</v>
      </c>
      <c r="F52" s="88"/>
      <c r="G52" s="9"/>
      <c r="H52" s="377"/>
      <c r="I52" s="356"/>
      <c r="J52" s="356"/>
      <c r="L52" s="140"/>
      <c r="M52" s="10"/>
    </row>
    <row r="53" spans="1:13" ht="15" customHeight="1">
      <c r="A53" s="68"/>
      <c r="B53" s="69" t="s">
        <v>161</v>
      </c>
      <c r="C53" s="69"/>
      <c r="D53" s="70">
        <f>'Step 2'!D53/12</f>
        <v>41.666666666666664</v>
      </c>
      <c r="E53" s="100">
        <f t="shared" si="1"/>
        <v>9.9930048965723994E-4</v>
      </c>
      <c r="F53" s="88"/>
      <c r="H53" s="356"/>
      <c r="I53" s="356"/>
      <c r="J53" s="356"/>
      <c r="K53" s="196"/>
      <c r="L53" s="140"/>
    </row>
    <row r="54" spans="1:13" ht="15" customHeight="1">
      <c r="A54" s="68"/>
      <c r="B54" s="69" t="s">
        <v>173</v>
      </c>
      <c r="C54" s="69"/>
      <c r="D54" s="70">
        <f>'Step 2'!D54/12</f>
        <v>41.666666666666664</v>
      </c>
      <c r="E54" s="100">
        <f t="shared" si="1"/>
        <v>9.9930048965723994E-4</v>
      </c>
      <c r="F54" s="88"/>
      <c r="H54" s="356"/>
      <c r="I54" s="356"/>
      <c r="J54" s="356"/>
      <c r="K54" s="240"/>
      <c r="L54" s="141"/>
      <c r="M54" s="10"/>
    </row>
    <row r="55" spans="1:13" ht="15" customHeight="1">
      <c r="A55" s="68"/>
      <c r="B55" s="144" t="s">
        <v>101</v>
      </c>
      <c r="C55" s="69"/>
      <c r="D55" s="70">
        <f>'Step 2'!D55/12</f>
        <v>166.66666666666666</v>
      </c>
      <c r="E55" s="100">
        <f t="shared" si="1"/>
        <v>3.9972019586289598E-3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0.31487958429099633</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88</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43375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44625</v>
      </c>
      <c r="E14" s="71"/>
      <c r="F14" s="88"/>
      <c r="G14" s="9"/>
      <c r="H14" s="73"/>
      <c r="I14" s="89" t="s">
        <v>171</v>
      </c>
      <c r="J14" s="226">
        <v>35</v>
      </c>
    </row>
    <row r="15" spans="1:11" ht="15" customHeight="1" thickBot="1">
      <c r="A15" s="96"/>
      <c r="B15" s="96"/>
      <c r="C15" s="96"/>
      <c r="D15" s="72"/>
      <c r="E15" s="71"/>
      <c r="F15" s="88"/>
      <c r="G15" s="9"/>
      <c r="H15" s="93"/>
      <c r="I15" s="94" t="s">
        <v>125</v>
      </c>
      <c r="J15" s="95">
        <f>J14*J13*J12</f>
        <v>700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5.9958029379434405E-3</v>
      </c>
      <c r="F18" s="88"/>
      <c r="G18" s="9"/>
      <c r="H18" s="375" t="s">
        <v>56</v>
      </c>
      <c r="I18" s="381"/>
      <c r="J18" s="67"/>
    </row>
    <row r="19" spans="1:10" ht="15" customHeight="1">
      <c r="A19" s="68"/>
      <c r="B19" s="69" t="s">
        <v>198</v>
      </c>
      <c r="C19" s="69"/>
      <c r="D19" s="174">
        <f>J15*J11</f>
        <v>10500</v>
      </c>
      <c r="E19" s="100">
        <f t="shared" si="0"/>
        <v>0.25182372339362447</v>
      </c>
      <c r="F19" s="88"/>
      <c r="G19" s="9"/>
      <c r="H19" s="73"/>
      <c r="I19" s="101" t="s">
        <v>133</v>
      </c>
      <c r="J19" s="223">
        <f>'Step 2'!J19</f>
        <v>1</v>
      </c>
    </row>
    <row r="20" spans="1:10" ht="15" customHeight="1" thickBot="1">
      <c r="A20" s="68"/>
      <c r="B20" s="69" t="s">
        <v>44</v>
      </c>
      <c r="C20" s="69"/>
      <c r="D20" s="174">
        <f>'Step 2'!D20/12</f>
        <v>250</v>
      </c>
      <c r="E20" s="100">
        <f t="shared" si="0"/>
        <v>5.9958029379434405E-3</v>
      </c>
      <c r="F20" s="72"/>
      <c r="G20" s="9"/>
      <c r="H20" s="73"/>
      <c r="I20" s="103" t="s">
        <v>134</v>
      </c>
      <c r="J20" s="227">
        <f>'Step 2'!J20/12</f>
        <v>6500</v>
      </c>
    </row>
    <row r="21" spans="1:10" ht="15" customHeight="1" thickBot="1">
      <c r="A21" s="68"/>
      <c r="B21" s="69" t="s">
        <v>56</v>
      </c>
      <c r="C21" s="69"/>
      <c r="D21" s="174">
        <f>J31</f>
        <v>14333.333333333332</v>
      </c>
      <c r="E21" s="100">
        <f t="shared" si="0"/>
        <v>0.34375936844209054</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5.1563905266313589E-2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2.5981812731088239E-2</v>
      </c>
      <c r="F24" s="65"/>
      <c r="H24" s="73"/>
      <c r="I24" s="94" t="s">
        <v>114</v>
      </c>
      <c r="J24" s="245">
        <f>'Step 2'!J24/12</f>
        <v>2666.6666666666665</v>
      </c>
    </row>
    <row r="25" spans="1:10" ht="15" customHeight="1" thickTop="1">
      <c r="A25" s="68"/>
      <c r="B25" s="370" t="s">
        <v>45</v>
      </c>
      <c r="C25" s="371"/>
      <c r="D25" s="225">
        <f>SUM(D18:D24)</f>
        <v>28566.666666666664</v>
      </c>
      <c r="E25" s="111">
        <f t="shared" si="0"/>
        <v>0.68512041570900373</v>
      </c>
      <c r="F25" s="107"/>
      <c r="G25" s="9"/>
      <c r="H25" s="73"/>
      <c r="I25" s="112" t="s">
        <v>136</v>
      </c>
      <c r="J25" s="223">
        <f>'Step 2'!J25</f>
        <v>2</v>
      </c>
    </row>
    <row r="26" spans="1:10" ht="15" customHeight="1" thickBot="1">
      <c r="A26" s="86"/>
      <c r="B26" s="372" t="s">
        <v>61</v>
      </c>
      <c r="C26" s="346"/>
      <c r="D26" s="229">
        <f>D14-COGS</f>
        <v>16058.333333333336</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0.15589087638652946</v>
      </c>
      <c r="F30" s="88"/>
      <c r="G30" s="9"/>
      <c r="H30" s="73"/>
      <c r="I30" s="94" t="s">
        <v>210</v>
      </c>
      <c r="J30" s="245">
        <f>'Step 2'!J30/12</f>
        <v>1500</v>
      </c>
    </row>
    <row r="31" spans="1:10" ht="15" customHeight="1" thickBot="1">
      <c r="A31" s="68"/>
      <c r="B31" s="69" t="s">
        <v>105</v>
      </c>
      <c r="C31" s="69"/>
      <c r="D31" s="70">
        <f>'Step 2'!D31/12</f>
        <v>975</v>
      </c>
      <c r="E31" s="100">
        <f t="shared" ref="E31:E60" si="1">D31/$J$46</f>
        <v>2.3383631457979417E-2</v>
      </c>
      <c r="F31" s="88"/>
      <c r="G31" s="9"/>
      <c r="H31" s="118"/>
      <c r="I31" s="250" t="s">
        <v>89</v>
      </c>
      <c r="J31" s="194">
        <f>J21+J24+J27+J30</f>
        <v>14333.333333333332</v>
      </c>
    </row>
    <row r="32" spans="1:10" ht="15" customHeight="1" thickBot="1">
      <c r="A32" s="68"/>
      <c r="B32" s="69" t="s">
        <v>33</v>
      </c>
      <c r="C32" s="69"/>
      <c r="D32" s="70">
        <f>'Step 2'!D32/12</f>
        <v>541.66666666666663</v>
      </c>
      <c r="E32" s="100">
        <f t="shared" si="1"/>
        <v>1.2990906365544119E-2</v>
      </c>
      <c r="F32" s="88"/>
      <c r="G32" s="9"/>
      <c r="H32" s="121" t="s">
        <v>148</v>
      </c>
      <c r="I32" s="232"/>
      <c r="J32" s="233"/>
    </row>
    <row r="33" spans="1:11" ht="15" customHeight="1">
      <c r="A33" s="68"/>
      <c r="B33" s="69" t="s">
        <v>13</v>
      </c>
      <c r="C33" s="69"/>
      <c r="D33" s="70">
        <f>'Step 2'!D33/12</f>
        <v>166.66666666666666</v>
      </c>
      <c r="E33" s="100">
        <f t="shared" si="1"/>
        <v>3.9972019586289598E-3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9.9930048965723994E-4</v>
      </c>
      <c r="F35" s="88"/>
      <c r="G35" s="9"/>
      <c r="H35" s="73"/>
      <c r="I35" s="94" t="s">
        <v>58</v>
      </c>
      <c r="J35" s="245">
        <f>'Step 2'!J35/12</f>
        <v>0</v>
      </c>
    </row>
    <row r="36" spans="1:11" ht="15" customHeight="1">
      <c r="A36" s="68"/>
      <c r="B36" s="69" t="s">
        <v>197</v>
      </c>
      <c r="C36" s="69"/>
      <c r="D36" s="70">
        <f>'Step 2'!D36/12</f>
        <v>208.33333333333334</v>
      </c>
      <c r="E36" s="100">
        <f t="shared" si="1"/>
        <v>4.9965024482862006E-3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1.9986009793144803E-4</v>
      </c>
      <c r="F38" s="88"/>
      <c r="G38" s="9"/>
      <c r="H38" s="73"/>
      <c r="I38" s="94" t="s">
        <v>99</v>
      </c>
      <c r="J38" s="245">
        <f>'Step 2'!J38/12</f>
        <v>3750</v>
      </c>
    </row>
    <row r="39" spans="1:11" ht="15" customHeight="1">
      <c r="A39" s="68"/>
      <c r="B39" s="69" t="s">
        <v>111</v>
      </c>
      <c r="C39" s="69"/>
      <c r="D39" s="70">
        <f>'Step 2'!D39/12</f>
        <v>62.5</v>
      </c>
      <c r="E39" s="100">
        <f t="shared" si="1"/>
        <v>1.4989507344858601E-3</v>
      </c>
      <c r="F39" s="88"/>
      <c r="G39" s="9"/>
      <c r="H39" s="73"/>
      <c r="I39" s="112" t="s">
        <v>34</v>
      </c>
      <c r="J39" s="223">
        <f>'Step 2'!J39</f>
        <v>1.5</v>
      </c>
    </row>
    <row r="40" spans="1:11" ht="15" customHeight="1" thickBot="1">
      <c r="A40" s="68"/>
      <c r="B40" s="69" t="s">
        <v>108</v>
      </c>
      <c r="C40" s="69"/>
      <c r="D40" s="70">
        <f>'Step 2'!D40/12</f>
        <v>83.333333333333329</v>
      </c>
      <c r="E40" s="100">
        <f t="shared" si="1"/>
        <v>1.9986009793144799E-3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3.9972019586289598E-3</v>
      </c>
      <c r="F42" s="74"/>
      <c r="G42" s="9"/>
      <c r="H42" s="68"/>
      <c r="I42" s="185" t="s">
        <v>149</v>
      </c>
      <c r="J42" s="251">
        <f>J35+J38+J41</f>
        <v>6500</v>
      </c>
    </row>
    <row r="43" spans="1:11" ht="15" customHeight="1" thickBot="1">
      <c r="A43" s="68"/>
      <c r="B43" s="69" t="s">
        <v>81</v>
      </c>
      <c r="C43" s="69"/>
      <c r="D43" s="70">
        <f>'Step 2'!D43/12</f>
        <v>125</v>
      </c>
      <c r="E43" s="100">
        <f t="shared" si="1"/>
        <v>2.9979014689717203E-3</v>
      </c>
      <c r="F43" s="69"/>
      <c r="G43" s="127"/>
      <c r="H43" s="93"/>
      <c r="I43" s="236" t="s">
        <v>181</v>
      </c>
      <c r="J43" s="237">
        <f>J31+J42</f>
        <v>20833.333333333332</v>
      </c>
    </row>
    <row r="44" spans="1:11" ht="15" customHeight="1">
      <c r="A44" s="68"/>
      <c r="B44" s="69" t="s">
        <v>90</v>
      </c>
      <c r="C44" s="69"/>
      <c r="D44" s="70">
        <f>'Step 2'!D44/12</f>
        <v>41.666666666666664</v>
      </c>
      <c r="E44" s="100">
        <f t="shared" si="1"/>
        <v>9.9930048965723994E-4</v>
      </c>
      <c r="F44" s="88"/>
      <c r="G44" s="130"/>
    </row>
    <row r="45" spans="1:11" ht="15" customHeight="1">
      <c r="A45" s="68"/>
      <c r="B45" s="69" t="s">
        <v>25</v>
      </c>
      <c r="C45" s="69"/>
      <c r="D45" s="70">
        <f>'Step 2'!D45/12</f>
        <v>166.66666666666666</v>
      </c>
      <c r="E45" s="100">
        <f t="shared" si="1"/>
        <v>3.9972019586289598E-3</v>
      </c>
      <c r="F45" s="88"/>
      <c r="G45" s="9"/>
    </row>
    <row r="46" spans="1:11" ht="15" customHeight="1">
      <c r="A46" s="68"/>
      <c r="B46" s="69" t="s">
        <v>26</v>
      </c>
      <c r="C46" s="69"/>
      <c r="D46" s="70">
        <f>'Step 2'!D46/12</f>
        <v>41.666666666666664</v>
      </c>
      <c r="E46" s="100">
        <f t="shared" si="1"/>
        <v>9.9930048965723994E-4</v>
      </c>
      <c r="F46" s="88"/>
      <c r="I46" s="131" t="s">
        <v>117</v>
      </c>
      <c r="J46" s="132">
        <f>SUM(D25,D60)</f>
        <v>41695.833333333328</v>
      </c>
      <c r="K46" s="133">
        <f>E60+E25</f>
        <v>1</v>
      </c>
    </row>
    <row r="47" spans="1:11" ht="15" customHeight="1">
      <c r="A47" s="68"/>
      <c r="B47" s="69" t="s">
        <v>38</v>
      </c>
      <c r="C47" s="69"/>
      <c r="D47" s="70">
        <f>'Step 2'!D47/12</f>
        <v>166.66666666666666</v>
      </c>
      <c r="E47" s="100">
        <f t="shared" si="1"/>
        <v>3.9972019586289598E-3</v>
      </c>
      <c r="F47" s="88"/>
      <c r="G47" s="142"/>
      <c r="I47" s="238"/>
      <c r="J47" s="239"/>
      <c r="K47" s="153"/>
    </row>
    <row r="48" spans="1:11" ht="15" customHeight="1">
      <c r="A48" s="68"/>
      <c r="B48" s="69" t="s">
        <v>5</v>
      </c>
      <c r="C48" s="69"/>
      <c r="D48" s="70">
        <f>'Step 2'!D48/12</f>
        <v>583.33333333333337</v>
      </c>
      <c r="E48" s="100">
        <f t="shared" si="1"/>
        <v>1.3990206855201361E-2</v>
      </c>
      <c r="F48" s="88"/>
      <c r="G48" s="142"/>
      <c r="I48" s="135" t="s">
        <v>174</v>
      </c>
      <c r="J48" s="136">
        <f>(D26-D60)</f>
        <v>2929.1666666666697</v>
      </c>
      <c r="K48" s="153"/>
    </row>
    <row r="49" spans="1:13" ht="15" customHeight="1">
      <c r="A49" s="68"/>
      <c r="B49" s="69" t="s">
        <v>154</v>
      </c>
      <c r="C49" s="69"/>
      <c r="D49" s="70">
        <f>'Step 2'!D49/12</f>
        <v>166.66666666666666</v>
      </c>
      <c r="E49" s="100">
        <f t="shared" si="1"/>
        <v>3.9972019586289598E-3</v>
      </c>
      <c r="F49" s="88"/>
      <c r="G49" s="142"/>
      <c r="K49" s="137"/>
      <c r="L49" s="138"/>
      <c r="M49" s="10"/>
    </row>
    <row r="50" spans="1:13" ht="15" customHeight="1">
      <c r="A50" s="68"/>
      <c r="B50" s="69" t="s">
        <v>66</v>
      </c>
      <c r="C50" s="69"/>
      <c r="D50" s="70">
        <f>'Step 2'!D50/12</f>
        <v>2000</v>
      </c>
      <c r="E50" s="100">
        <f t="shared" si="1"/>
        <v>4.7966423503547524E-2</v>
      </c>
      <c r="F50" s="88"/>
      <c r="G50" s="9"/>
      <c r="K50" s="137"/>
      <c r="L50" s="139"/>
      <c r="M50" s="110"/>
    </row>
    <row r="51" spans="1:13" ht="15" customHeight="1">
      <c r="A51" s="68"/>
      <c r="B51" s="69" t="s">
        <v>40</v>
      </c>
      <c r="C51" s="69"/>
      <c r="D51" s="70">
        <f>'Step 2'!D51/12</f>
        <v>166.66666666666666</v>
      </c>
      <c r="E51" s="100">
        <f t="shared" si="1"/>
        <v>3.9972019586289598E-3</v>
      </c>
      <c r="F51" s="88"/>
      <c r="L51" s="138"/>
      <c r="M51" s="10"/>
    </row>
    <row r="52" spans="1:13" ht="15" customHeight="1">
      <c r="A52" s="68"/>
      <c r="B52" s="69" t="s">
        <v>7</v>
      </c>
      <c r="C52" s="69"/>
      <c r="D52" s="70">
        <f>'Step 2'!D52/12</f>
        <v>666.66666666666663</v>
      </c>
      <c r="E52" s="100">
        <f t="shared" si="1"/>
        <v>1.5988807834515839E-2</v>
      </c>
      <c r="F52" s="88"/>
      <c r="G52" s="9"/>
      <c r="H52" s="377"/>
      <c r="I52" s="356"/>
      <c r="J52" s="356"/>
      <c r="L52" s="140"/>
      <c r="M52" s="10"/>
    </row>
    <row r="53" spans="1:13" ht="15" customHeight="1">
      <c r="A53" s="68"/>
      <c r="B53" s="69" t="s">
        <v>161</v>
      </c>
      <c r="C53" s="69"/>
      <c r="D53" s="70">
        <f>'Step 2'!D53/12</f>
        <v>41.666666666666664</v>
      </c>
      <c r="E53" s="100">
        <f t="shared" si="1"/>
        <v>9.9930048965723994E-4</v>
      </c>
      <c r="F53" s="88"/>
      <c r="H53" s="356"/>
      <c r="I53" s="356"/>
      <c r="J53" s="356"/>
      <c r="K53" s="196"/>
      <c r="L53" s="140"/>
    </row>
    <row r="54" spans="1:13" ht="15" customHeight="1">
      <c r="A54" s="68"/>
      <c r="B54" s="69" t="s">
        <v>173</v>
      </c>
      <c r="C54" s="69"/>
      <c r="D54" s="70">
        <f>'Step 2'!D54/12</f>
        <v>41.666666666666664</v>
      </c>
      <c r="E54" s="100">
        <f t="shared" si="1"/>
        <v>9.9930048965723994E-4</v>
      </c>
      <c r="F54" s="88"/>
      <c r="H54" s="356"/>
      <c r="I54" s="356"/>
      <c r="J54" s="356"/>
      <c r="K54" s="240"/>
      <c r="L54" s="141"/>
      <c r="M54" s="10"/>
    </row>
    <row r="55" spans="1:13" ht="15" customHeight="1">
      <c r="A55" s="68"/>
      <c r="B55" s="144" t="s">
        <v>101</v>
      </c>
      <c r="C55" s="69"/>
      <c r="D55" s="70">
        <f>'Step 2'!D55/12</f>
        <v>166.66666666666666</v>
      </c>
      <c r="E55" s="100">
        <f t="shared" si="1"/>
        <v>3.9972019586289598E-3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0.31487958429099633</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60"/>
  <sheetViews>
    <sheetView showGridLines="0" view="pageLayout" workbookViewId="0">
      <selection activeCell="D57" sqref="D57"/>
    </sheetView>
  </sheetViews>
  <sheetFormatPr baseColWidth="10" defaultColWidth="8.7109375" defaultRowHeight="13" x14ac:dyDescent="0"/>
  <cols>
    <col min="1" max="1" width="2.7109375" style="13" customWidth="1"/>
    <col min="2" max="2" width="14" style="13" customWidth="1"/>
    <col min="3" max="3" width="12.85546875" style="13" customWidth="1"/>
    <col min="4" max="15" width="9.42578125" style="20" customWidth="1"/>
    <col min="16" max="16" width="10.42578125" style="20" customWidth="1"/>
    <col min="17" max="16384" width="8.7109375" style="13"/>
  </cols>
  <sheetData>
    <row r="1" spans="1:16" s="2" customFormat="1" ht="23">
      <c r="A1" s="1" t="s">
        <v>57</v>
      </c>
      <c r="B1" s="1"/>
      <c r="C1" s="4"/>
      <c r="D1" s="4"/>
      <c r="E1" s="4"/>
      <c r="F1" s="5"/>
      <c r="G1" s="5"/>
      <c r="H1" s="6"/>
      <c r="I1" s="7"/>
      <c r="P1" s="7"/>
    </row>
    <row r="2" spans="1:16" s="2" customFormat="1" ht="18" customHeight="1">
      <c r="A2" s="59"/>
      <c r="B2" s="59"/>
      <c r="C2" s="59"/>
      <c r="D2" s="59"/>
      <c r="E2" s="8"/>
      <c r="F2" s="9"/>
      <c r="G2" s="5"/>
      <c r="H2" s="4"/>
      <c r="I2" s="7"/>
      <c r="P2" s="7"/>
    </row>
    <row r="3" spans="1:16" s="2" customFormat="1" ht="18" customHeight="1">
      <c r="A3" s="59" t="s">
        <v>156</v>
      </c>
      <c r="B3" s="59"/>
      <c r="C3" s="372" t="str">
        <f>'Step 1'!C3:E3</f>
        <v>Sample Clinic</v>
      </c>
      <c r="D3" s="386"/>
      <c r="E3" s="386"/>
      <c r="F3" s="386"/>
      <c r="G3" s="5"/>
      <c r="H3" s="4"/>
      <c r="I3" s="7"/>
      <c r="P3" s="7"/>
    </row>
    <row r="4" spans="1:16" s="2" customFormat="1" ht="18" customHeight="1">
      <c r="A4" s="14" t="s">
        <v>129</v>
      </c>
      <c r="B4" s="14"/>
      <c r="C4" s="14"/>
      <c r="D4" s="14"/>
      <c r="E4" s="14"/>
      <c r="F4" s="16"/>
      <c r="G4" s="16"/>
      <c r="H4" s="14"/>
      <c r="I4" s="16"/>
      <c r="J4" s="17"/>
      <c r="P4" s="7"/>
    </row>
    <row r="5" spans="1:16" ht="18">
      <c r="A5" s="252"/>
      <c r="B5" s="252"/>
      <c r="C5" s="252"/>
      <c r="D5" s="253"/>
      <c r="E5" s="10"/>
      <c r="F5" s="10"/>
      <c r="G5" s="10"/>
      <c r="H5" s="254"/>
      <c r="I5" s="254"/>
    </row>
    <row r="6" spans="1:16" ht="18">
      <c r="A6" s="255" t="s">
        <v>211</v>
      </c>
      <c r="B6" s="256"/>
      <c r="C6" s="252"/>
      <c r="H6" s="254"/>
      <c r="I6" s="254"/>
    </row>
    <row r="7" spans="1:16" ht="18">
      <c r="A7" s="252" t="s">
        <v>126</v>
      </c>
      <c r="B7" s="252"/>
      <c r="C7" s="252"/>
      <c r="D7" s="253"/>
      <c r="E7" s="10"/>
      <c r="F7" s="10"/>
      <c r="G7" s="10"/>
      <c r="H7" s="254"/>
      <c r="I7" s="254"/>
    </row>
    <row r="9" spans="1:16">
      <c r="A9" s="257" t="s">
        <v>27</v>
      </c>
      <c r="B9" s="258"/>
      <c r="C9" s="201"/>
      <c r="D9" s="259" t="s">
        <v>153</v>
      </c>
      <c r="E9" s="259" t="s">
        <v>68</v>
      </c>
      <c r="F9" s="259" t="s">
        <v>14</v>
      </c>
      <c r="G9" s="259" t="s">
        <v>15</v>
      </c>
      <c r="H9" s="259" t="s">
        <v>17</v>
      </c>
      <c r="I9" s="259" t="s">
        <v>175</v>
      </c>
      <c r="J9" s="259" t="s">
        <v>41</v>
      </c>
      <c r="K9" s="259" t="s">
        <v>42</v>
      </c>
      <c r="L9" s="259" t="s">
        <v>91</v>
      </c>
      <c r="M9" s="259" t="s">
        <v>176</v>
      </c>
      <c r="N9" s="259" t="s">
        <v>95</v>
      </c>
      <c r="O9" s="259" t="s">
        <v>96</v>
      </c>
      <c r="P9" s="260" t="s">
        <v>200</v>
      </c>
    </row>
    <row r="10" spans="1:16">
      <c r="A10" s="21"/>
      <c r="B10" s="387" t="s">
        <v>125</v>
      </c>
      <c r="C10" s="357"/>
      <c r="D10" s="261">
        <f>'Mo. 1'!$J$15</f>
        <v>380</v>
      </c>
      <c r="E10" s="261">
        <f>'Mo. 2'!$J$15</f>
        <v>420</v>
      </c>
      <c r="F10" s="261">
        <f>'Mo. 3'!$J$15</f>
        <v>460</v>
      </c>
      <c r="G10" s="261">
        <f>'Mo. 4'!$J$15</f>
        <v>500</v>
      </c>
      <c r="H10" s="261">
        <f>'Mo. 5'!$J$15</f>
        <v>560</v>
      </c>
      <c r="I10" s="261">
        <f>'Mo. 6'!$J$15</f>
        <v>600</v>
      </c>
      <c r="J10" s="261">
        <f>'Mo. 7'!$J$15</f>
        <v>660</v>
      </c>
      <c r="K10" s="261">
        <f>'Mo. 8'!$J$15</f>
        <v>700</v>
      </c>
      <c r="L10" s="261">
        <f>'Mo. 9'!$J$15</f>
        <v>700</v>
      </c>
      <c r="M10" s="261">
        <f>'Mo. 10'!$J$15</f>
        <v>700</v>
      </c>
      <c r="N10" s="261">
        <f>'Mo. 11'!$J$15</f>
        <v>700</v>
      </c>
      <c r="O10" s="261">
        <f>'Mo. 12'!$J$15</f>
        <v>700</v>
      </c>
      <c r="P10" s="262">
        <f>SUM(D10:O10)</f>
        <v>7080</v>
      </c>
    </row>
    <row r="11" spans="1:16">
      <c r="A11" s="21"/>
      <c r="B11" s="387" t="s">
        <v>24</v>
      </c>
      <c r="C11" s="357"/>
      <c r="D11" s="263">
        <f>'Mo. 1'!$D$10</f>
        <v>23546.428571428572</v>
      </c>
      <c r="E11" s="263">
        <f>'Mo. 2'!$D$10</f>
        <v>26025</v>
      </c>
      <c r="F11" s="263">
        <f>'Mo. 3'!$D$10</f>
        <v>28503.571428571428</v>
      </c>
      <c r="G11" s="263">
        <f>'Mo. 4'!$D$10</f>
        <v>30982.142857142859</v>
      </c>
      <c r="H11" s="263">
        <f>'Mo. 5'!$D$10</f>
        <v>34700</v>
      </c>
      <c r="I11" s="263">
        <f>'Mo. 6'!$D$10</f>
        <v>37178.571428571428</v>
      </c>
      <c r="J11" s="263">
        <f>'Mo. 7'!$D$10</f>
        <v>40896.428571428572</v>
      </c>
      <c r="K11" s="263">
        <f>'Mo. 8'!$D$10</f>
        <v>43375</v>
      </c>
      <c r="L11" s="263">
        <f>'Mo. 9'!$D$10</f>
        <v>43375</v>
      </c>
      <c r="M11" s="263">
        <f>'Mo. 10'!$D$10</f>
        <v>43375</v>
      </c>
      <c r="N11" s="263">
        <f>'Mo. 11'!$D$10</f>
        <v>43375</v>
      </c>
      <c r="O11" s="263">
        <f>'Mo. 12'!$D$10</f>
        <v>43375</v>
      </c>
      <c r="P11" s="264">
        <f>SUM(D11:O11)</f>
        <v>438707.14285714284</v>
      </c>
    </row>
    <row r="12" spans="1:16" ht="14" thickBot="1">
      <c r="A12" s="25"/>
      <c r="B12" s="352" t="s">
        <v>23</v>
      </c>
      <c r="C12" s="367"/>
      <c r="D12" s="265">
        <f>SUM('Mo. 1'!$D$11:$D$13)</f>
        <v>1250</v>
      </c>
      <c r="E12" s="265">
        <f>SUM('Mo. 2'!$D$11:$D$13)</f>
        <v>1250</v>
      </c>
      <c r="F12" s="265">
        <f>SUM('Mo. 3'!$D$11:$D$13)</f>
        <v>1250</v>
      </c>
      <c r="G12" s="265">
        <f>SUM('Mo. 4'!$D$11:$D$13)</f>
        <v>1250</v>
      </c>
      <c r="H12" s="265">
        <f>SUM('Mo. 5'!$D$11:$D$13)</f>
        <v>1250</v>
      </c>
      <c r="I12" s="265">
        <f>SUM('Mo. 6'!$D$11:$D$13)</f>
        <v>1250</v>
      </c>
      <c r="J12" s="265">
        <f>SUM('Mo. 7'!$D$11:$D$13)</f>
        <v>1250</v>
      </c>
      <c r="K12" s="265">
        <f>SUM('Mo. 8'!$D$11:$D$13)</f>
        <v>1250</v>
      </c>
      <c r="L12" s="265">
        <f>SUM('Mo. 9'!$D$11:$D$13)</f>
        <v>1250</v>
      </c>
      <c r="M12" s="265">
        <f>SUM('Mo. 10'!$D$11:$D$13)</f>
        <v>1250</v>
      </c>
      <c r="N12" s="265">
        <f>SUM('Mo. 11'!$D$11:$D$13)</f>
        <v>1250</v>
      </c>
      <c r="O12" s="265">
        <f>SUM('Mo. 12'!$D$11:$D$13)</f>
        <v>1250</v>
      </c>
      <c r="P12" s="266">
        <f>SUM(D12:O12)</f>
        <v>15000</v>
      </c>
    </row>
    <row r="13" spans="1:16" ht="14" thickTop="1">
      <c r="A13" s="27"/>
      <c r="B13" s="388" t="s">
        <v>201</v>
      </c>
      <c r="C13" s="389"/>
      <c r="D13" s="267">
        <f>'Mo. 1'!$D$14</f>
        <v>24796.428571428572</v>
      </c>
      <c r="E13" s="267">
        <f>'Mo. 2'!$D$14</f>
        <v>27275</v>
      </c>
      <c r="F13" s="267">
        <f>'Mo. 3'!$D$14</f>
        <v>29753.571428571428</v>
      </c>
      <c r="G13" s="267">
        <f>'Mo. 4'!$D$14</f>
        <v>32232.142857142859</v>
      </c>
      <c r="H13" s="267">
        <f>'Mo. 5'!$D$14</f>
        <v>35950</v>
      </c>
      <c r="I13" s="267">
        <f>'Mo. 6'!$D$14</f>
        <v>38428.571428571428</v>
      </c>
      <c r="J13" s="267">
        <f>'Mo. 7'!$D$14</f>
        <v>42146.428571428572</v>
      </c>
      <c r="K13" s="267">
        <f>'Mo. 8'!$D$14</f>
        <v>44625</v>
      </c>
      <c r="L13" s="267">
        <f>'Mo. 9'!$D$14</f>
        <v>44625</v>
      </c>
      <c r="M13" s="267">
        <f>'Mo. 10'!$D$14</f>
        <v>44625</v>
      </c>
      <c r="N13" s="267">
        <f>'Mo. 11'!$D$14</f>
        <v>44625</v>
      </c>
      <c r="O13" s="267">
        <f>'Mo. 12'!$D$14</f>
        <v>44625</v>
      </c>
      <c r="P13" s="268">
        <f>SUM(D13:O13)</f>
        <v>453707.14285714284</v>
      </c>
    </row>
    <row r="15" spans="1:16">
      <c r="A15" s="269" t="s">
        <v>16</v>
      </c>
      <c r="B15" s="270"/>
      <c r="C15" s="201"/>
      <c r="D15" s="259" t="s">
        <v>153</v>
      </c>
      <c r="E15" s="259" t="s">
        <v>68</v>
      </c>
      <c r="F15" s="259" t="s">
        <v>14</v>
      </c>
      <c r="G15" s="259" t="s">
        <v>15</v>
      </c>
      <c r="H15" s="259" t="s">
        <v>17</v>
      </c>
      <c r="I15" s="259" t="s">
        <v>175</v>
      </c>
      <c r="J15" s="259" t="s">
        <v>41</v>
      </c>
      <c r="K15" s="259" t="s">
        <v>42</v>
      </c>
      <c r="L15" s="259" t="s">
        <v>91</v>
      </c>
      <c r="M15" s="259" t="s">
        <v>176</v>
      </c>
      <c r="N15" s="259" t="s">
        <v>95</v>
      </c>
      <c r="O15" s="259"/>
      <c r="P15" s="260" t="s">
        <v>200</v>
      </c>
    </row>
    <row r="16" spans="1:16">
      <c r="A16" s="21"/>
      <c r="B16" s="385" t="s">
        <v>212</v>
      </c>
      <c r="C16" s="357"/>
      <c r="D16" s="271">
        <f>SUM('Mo. 1'!$D$21:$D$24)</f>
        <v>17566.666666666664</v>
      </c>
      <c r="E16" s="271">
        <f>SUM('Mo. 2'!$D$21:$D$24)</f>
        <v>17566.666666666664</v>
      </c>
      <c r="F16" s="271">
        <f>SUM('Mo. 3'!$D$21:$D$24)</f>
        <v>17566.666666666664</v>
      </c>
      <c r="G16" s="271">
        <f>SUM('Mo. 4'!$D$21:$D$24)</f>
        <v>17566.666666666664</v>
      </c>
      <c r="H16" s="271">
        <f>SUM('Mo. 5'!$D$21:$D$24)</f>
        <v>17566.666666666664</v>
      </c>
      <c r="I16" s="271">
        <f>SUM('Mo. 6'!$D$21:$D$24)</f>
        <v>17566.666666666664</v>
      </c>
      <c r="J16" s="271">
        <f>SUM('Mo. 7'!$D$21:$D$24)</f>
        <v>17566.666666666664</v>
      </c>
      <c r="K16" s="271">
        <f>SUM('Mo. 8'!$D$21:$D$24)</f>
        <v>17566.666666666664</v>
      </c>
      <c r="L16" s="271">
        <f>SUM('Mo. 9'!$D$21:$D$24)</f>
        <v>17566.666666666664</v>
      </c>
      <c r="M16" s="271">
        <f>SUM('Mo. 10'!$D$21:$D$24)</f>
        <v>17566.666666666664</v>
      </c>
      <c r="N16" s="271">
        <f>SUM('Mo. 11'!$D$21:$D$24)</f>
        <v>17566.666666666664</v>
      </c>
      <c r="O16" s="271">
        <f>SUM('Mo. 12'!$D$21:$D$24)</f>
        <v>17566.666666666664</v>
      </c>
      <c r="P16" s="272">
        <f t="shared" ref="P16:P23" si="0">SUM(D16:O16)</f>
        <v>210799.99999999991</v>
      </c>
    </row>
    <row r="17" spans="1:16">
      <c r="A17" s="21"/>
      <c r="B17" s="23" t="s">
        <v>84</v>
      </c>
      <c r="D17" s="271">
        <f>SUM('Mo. 1'!$D$30:$D$32)</f>
        <v>8016.666666666667</v>
      </c>
      <c r="E17" s="271">
        <f>SUM('Mo. 2'!$D$30:$D$32)</f>
        <v>8016.666666666667</v>
      </c>
      <c r="F17" s="271">
        <f>SUM('Mo. 3'!$D$30:$D$32)</f>
        <v>8016.666666666667</v>
      </c>
      <c r="G17" s="271">
        <f>SUM('Mo. 4'!$D$30:$D$32)</f>
        <v>8016.666666666667</v>
      </c>
      <c r="H17" s="271">
        <f>SUM('Mo. 5'!$D$30:$D$32)</f>
        <v>8016.666666666667</v>
      </c>
      <c r="I17" s="271">
        <f>SUM('Mo. 6'!$D$30:$D$32)</f>
        <v>8016.666666666667</v>
      </c>
      <c r="J17" s="271">
        <f>SUM('Mo. 7'!$D$30:$D$32)</f>
        <v>8016.666666666667</v>
      </c>
      <c r="K17" s="271">
        <f>SUM('Mo. 8'!$D$30:$D$32)</f>
        <v>8016.666666666667</v>
      </c>
      <c r="L17" s="271">
        <f>SUM('Mo. 9'!$D$30:$D$32)</f>
        <v>8016.666666666667</v>
      </c>
      <c r="M17" s="271">
        <f>SUM('Mo. 10'!$D$30:$D$32)</f>
        <v>8016.666666666667</v>
      </c>
      <c r="N17" s="271">
        <f>SUM('Mo. 11'!$D$30:$D$32)</f>
        <v>8016.666666666667</v>
      </c>
      <c r="O17" s="271">
        <f>SUM('Mo. 12'!$D$30:$D$32)</f>
        <v>8016.666666666667</v>
      </c>
      <c r="P17" s="272">
        <f t="shared" si="0"/>
        <v>96200.000000000015</v>
      </c>
    </row>
    <row r="18" spans="1:16">
      <c r="A18" s="21"/>
      <c r="B18" s="23" t="s">
        <v>127</v>
      </c>
      <c r="D18" s="271">
        <f>'Mo. 1'!$D$19</f>
        <v>5700</v>
      </c>
      <c r="E18" s="271">
        <f>'Mo. 2'!$D$19</f>
        <v>6300</v>
      </c>
      <c r="F18" s="271">
        <f>'Mo. 3'!$D$19</f>
        <v>6900</v>
      </c>
      <c r="G18" s="271">
        <f>'Mo. 4'!$D$19</f>
        <v>7500</v>
      </c>
      <c r="H18" s="271">
        <f>'Mo. 5'!$D$19</f>
        <v>8400</v>
      </c>
      <c r="I18" s="271">
        <f>'Mo. 6'!$D$19</f>
        <v>9000</v>
      </c>
      <c r="J18" s="271">
        <f>'Mo. 7'!$D$19</f>
        <v>9900</v>
      </c>
      <c r="K18" s="271">
        <f>'Mo. 8'!$D$19</f>
        <v>10500</v>
      </c>
      <c r="L18" s="271">
        <f>'Mo. 9'!$D$19</f>
        <v>10500</v>
      </c>
      <c r="M18" s="271">
        <f>'Mo. 10'!$D$19</f>
        <v>10500</v>
      </c>
      <c r="N18" s="271">
        <f>'Mo. 11'!$D$19</f>
        <v>10500</v>
      </c>
      <c r="O18" s="271">
        <f>'Mo. 12'!$D$19</f>
        <v>10500</v>
      </c>
      <c r="P18" s="272">
        <f t="shared" si="0"/>
        <v>106200</v>
      </c>
    </row>
    <row r="19" spans="1:16">
      <c r="A19" s="21"/>
      <c r="B19" s="23" t="s">
        <v>65</v>
      </c>
      <c r="D19" s="271">
        <f>'Mo. 1'!$D$18+'Mo. 1'!$D$20</f>
        <v>500</v>
      </c>
      <c r="E19" s="271">
        <f>'Mo. 2'!$D$18+'Mo. 2'!$D$20</f>
        <v>500</v>
      </c>
      <c r="F19" s="271">
        <f>'Mo. 3'!$D$18+'Mo. 3'!$D$20</f>
        <v>500</v>
      </c>
      <c r="G19" s="271">
        <f>'Mo. 4'!$D$18+'Mo. 4'!$D$20</f>
        <v>500</v>
      </c>
      <c r="H19" s="271">
        <f>'Mo. 5'!$D$18+'Mo. 5'!$D$20</f>
        <v>500</v>
      </c>
      <c r="I19" s="271">
        <f>'Mo. 6'!$D$18+'Mo. 6'!$D$20</f>
        <v>500</v>
      </c>
      <c r="J19" s="271">
        <f>'Mo. 7'!$D$18+'Mo. 7'!$D$20</f>
        <v>500</v>
      </c>
      <c r="K19" s="271">
        <f>'Mo. 8'!$D$18+'Mo. 8'!$D$20</f>
        <v>500</v>
      </c>
      <c r="L19" s="271">
        <f>'Mo. 9'!$D$18+'Mo. 9'!$D$20</f>
        <v>500</v>
      </c>
      <c r="M19" s="271">
        <f>'Mo. 10'!$D$18+'Mo. 10'!$D$20</f>
        <v>500</v>
      </c>
      <c r="N19" s="271">
        <f>'Mo. 11'!$D$18+'Mo. 11'!$D$20</f>
        <v>500</v>
      </c>
      <c r="O19" s="271">
        <f>'Mo. 12'!$D$18+'Mo. 12'!$D$20</f>
        <v>500</v>
      </c>
      <c r="P19" s="272">
        <f>SUM(D19:O19)</f>
        <v>6000</v>
      </c>
    </row>
    <row r="20" spans="1:16">
      <c r="A20" s="21"/>
      <c r="B20" s="69" t="s">
        <v>66</v>
      </c>
      <c r="D20" s="271">
        <f>'Mo. 1'!$D$50</f>
        <v>2000</v>
      </c>
      <c r="E20" s="271">
        <f>'Mo. 2'!$D$50</f>
        <v>2000</v>
      </c>
      <c r="F20" s="271">
        <f>'Mo. 3'!$D$50</f>
        <v>2000</v>
      </c>
      <c r="G20" s="271">
        <f>'Mo. 4'!$D$50</f>
        <v>2000</v>
      </c>
      <c r="H20" s="271">
        <f>'Mo. 5'!$D$50</f>
        <v>2000</v>
      </c>
      <c r="I20" s="271">
        <f>'Mo. 6'!$D$50</f>
        <v>2000</v>
      </c>
      <c r="J20" s="271">
        <f>'Mo. 7'!$D$50</f>
        <v>2000</v>
      </c>
      <c r="K20" s="271">
        <f>'Mo. 8'!$D$50</f>
        <v>2000</v>
      </c>
      <c r="L20" s="271">
        <f>'Mo. 9'!$D$50</f>
        <v>2000</v>
      </c>
      <c r="M20" s="271">
        <f>'Mo. 10'!$D$50</f>
        <v>2000</v>
      </c>
      <c r="N20" s="271">
        <f>'Mo. 11'!$D$50</f>
        <v>2000</v>
      </c>
      <c r="O20" s="271">
        <f>'Mo. 12'!$D$50</f>
        <v>2000</v>
      </c>
      <c r="P20" s="272">
        <f t="shared" si="0"/>
        <v>24000</v>
      </c>
    </row>
    <row r="21" spans="1:16">
      <c r="A21" s="21"/>
      <c r="B21" s="23" t="s">
        <v>150</v>
      </c>
      <c r="D21" s="271">
        <f>'Mo. 1'!$D$52+'Mo. 1'!$D$45+'Mo. 1'!$D$47+'Mo. 1'!$D$48</f>
        <v>1583.3333333333333</v>
      </c>
      <c r="E21" s="271">
        <f>'Mo. 2'!$D$52+'Mo. 2'!$D$45+'Mo. 2'!$D$47+'Mo. 2'!$D$48</f>
        <v>1583.3333333333333</v>
      </c>
      <c r="F21" s="271">
        <f>'Mo. 3'!$D$52+'Mo. 3'!$D$45+'Mo. 3'!$D$47+'Mo. 3'!$D$48</f>
        <v>1583.3333333333333</v>
      </c>
      <c r="G21" s="271">
        <f>'Mo. 4'!$D$52+'Mo. 4'!$D$45+'Mo. 4'!$D$47+'Mo. 4'!$D$48</f>
        <v>1583.3333333333333</v>
      </c>
      <c r="H21" s="271">
        <f>'Mo. 5'!$D$52+'Mo. 5'!$D$45+'Mo. 5'!$D$47+'Mo. 5'!$D$48</f>
        <v>1583.3333333333333</v>
      </c>
      <c r="I21" s="271">
        <f>'Mo. 6'!$D$52+'Mo. 6'!$D$45+'Mo. 6'!$D$47+'Mo. 6'!$D$48</f>
        <v>1583.3333333333333</v>
      </c>
      <c r="J21" s="271">
        <f>'Mo. 7'!$D$52+'Mo. 7'!$D$45+'Mo. 7'!$D$47+'Mo. 7'!$D$48</f>
        <v>1583.3333333333333</v>
      </c>
      <c r="K21" s="271">
        <f>'Mo. 8'!$D$52+'Mo. 8'!$D$45+'Mo. 8'!$D$47+'Mo. 8'!$D$48</f>
        <v>1583.3333333333333</v>
      </c>
      <c r="L21" s="271">
        <f>'Mo. 9'!$D$52+'Mo. 9'!$D$45+'Mo. 9'!$D$47+'Mo. 9'!$D$48</f>
        <v>1583.3333333333333</v>
      </c>
      <c r="M21" s="271">
        <f>'Mo. 10'!$D$52+'Mo. 10'!$D$45+'Mo. 10'!$D$47+'Mo. 10'!$D$48</f>
        <v>1583.3333333333333</v>
      </c>
      <c r="N21" s="271">
        <f>'Mo. 11'!$D$52+'Mo. 11'!$D$45+'Mo. 11'!$D$47+'Mo. 11'!$D$48</f>
        <v>1583.3333333333333</v>
      </c>
      <c r="O21" s="271">
        <f>'Mo. 12'!$D$52+'Mo. 12'!$D$45+'Mo. 12'!$D$47+'Mo. 12'!$D$48</f>
        <v>1583.3333333333333</v>
      </c>
      <c r="P21" s="272">
        <f t="shared" si="0"/>
        <v>19000</v>
      </c>
    </row>
    <row r="22" spans="1:16" ht="14" thickBot="1">
      <c r="A22" s="25"/>
      <c r="B22" s="206" t="s">
        <v>85</v>
      </c>
      <c r="C22" s="207"/>
      <c r="D22" s="273">
        <f>SUM('Mo. 1'!$D$33:$D$44,'Mo. 1'!$D$46,'Mo. 1'!$D$49,'Mo. 1'!$D$51,'Mo. 1'!$D$53:$D$59)</f>
        <v>1529.1666666666667</v>
      </c>
      <c r="E22" s="273">
        <f>SUM('Mo. 2'!$D$33:$D$44,'Mo. 2'!$D$46,'Mo. 2'!$D$49,'Mo. 2'!$D$51,'Mo. 2'!$D$53:$D$59)</f>
        <v>1529.1666666666667</v>
      </c>
      <c r="F22" s="273">
        <f>SUM('Mo. 3'!$D$33:$D$44,'Mo. 3'!$D$46,'Mo. 3'!$D$49,'Mo. 3'!$D$51,'Mo. 3'!$D$53:$D$59)</f>
        <v>1529.1666666666667</v>
      </c>
      <c r="G22" s="273">
        <f>SUM('Mo. 4'!$D$33:$D$44,'Mo. 4'!$D$46,'Mo. 4'!$D$49,'Mo. 4'!$D$51,'Mo. 4'!$D$53:$D$59)</f>
        <v>1529.1666666666667</v>
      </c>
      <c r="H22" s="273">
        <f>SUM('Mo. 5'!$D$33:$D$44,'Mo. 5'!$D$46,'Mo. 5'!$D$49,'Mo. 5'!$D$51,'Mo. 5'!$D$53:$D$59)</f>
        <v>1529.1666666666667</v>
      </c>
      <c r="I22" s="273">
        <f>SUM('Mo. 6'!$D$33:$D$44,'Mo. 6'!$D$46,'Mo. 6'!$D$49,'Mo. 6'!$D$51,'Mo. 6'!$D$53:$D$59)</f>
        <v>1529.1666666666667</v>
      </c>
      <c r="J22" s="273">
        <f>SUM('Mo. 7'!$D$33:$D$44,'Mo. 7'!$D$46,'Mo. 7'!$D$49,'Mo. 7'!$D$51,'Mo. 7'!$D$53:$D$59)</f>
        <v>1529.1666666666667</v>
      </c>
      <c r="K22" s="273">
        <f>SUM('Mo. 8'!$D$33:$D$44,'Mo. 8'!$D$46,'Mo. 8'!$D$49,'Mo. 8'!$D$51,'Mo. 8'!$D$53:$D$59)</f>
        <v>1529.1666666666667</v>
      </c>
      <c r="L22" s="273">
        <f>SUM('Mo. 9'!$D$33:$D$44,'Mo. 9'!$D$46,'Mo. 9'!$D$49,'Mo. 9'!$D$51,'Mo. 9'!$D$53:$D$59)</f>
        <v>1529.1666666666667</v>
      </c>
      <c r="M22" s="273">
        <f>SUM('Mo. 10'!$D$33:$D$44,'Mo. 10'!$D$46,'Mo. 10'!$D$49,'Mo. 10'!$D$51,'Mo. 10'!$D$53:$D$59)</f>
        <v>1529.1666666666667</v>
      </c>
      <c r="N22" s="273">
        <f>SUM('Mo. 11'!$D$33:$D$44,'Mo. 11'!$D$46,'Mo. 11'!$D$49,'Mo. 11'!$D$51,'Mo. 11'!$D$53:$D$59)</f>
        <v>1529.1666666666667</v>
      </c>
      <c r="O22" s="273">
        <f>SUM('Mo. 12'!$D$33:$D$44,'Mo. 12'!$D$46,'Mo. 12'!$D$49,'Mo. 12'!$D$51,'Mo. 12'!$D$53:$D$59)</f>
        <v>1529.1666666666667</v>
      </c>
      <c r="P22" s="274">
        <f t="shared" si="0"/>
        <v>18350</v>
      </c>
    </row>
    <row r="23" spans="1:16" ht="14" thickTop="1">
      <c r="A23" s="27"/>
      <c r="B23" s="275" t="s">
        <v>151</v>
      </c>
      <c r="C23" s="276"/>
      <c r="D23" s="277">
        <f>SUM(D16:D22)</f>
        <v>36895.833333333328</v>
      </c>
      <c r="E23" s="277">
        <f t="shared" ref="E23:K23" si="1">SUM(E16:E22)</f>
        <v>37495.833333333328</v>
      </c>
      <c r="F23" s="277">
        <f t="shared" si="1"/>
        <v>38095.833333333328</v>
      </c>
      <c r="G23" s="277">
        <f t="shared" si="1"/>
        <v>38695.833333333328</v>
      </c>
      <c r="H23" s="277">
        <f t="shared" si="1"/>
        <v>39595.833333333328</v>
      </c>
      <c r="I23" s="277">
        <f t="shared" si="1"/>
        <v>40195.833333333328</v>
      </c>
      <c r="J23" s="277">
        <f t="shared" si="1"/>
        <v>41095.833333333328</v>
      </c>
      <c r="K23" s="277">
        <f t="shared" si="1"/>
        <v>41695.833333333328</v>
      </c>
      <c r="L23" s="277">
        <f>SUM(L16:L22)</f>
        <v>41695.833333333328</v>
      </c>
      <c r="M23" s="277">
        <f>SUM(M16:M22)</f>
        <v>41695.833333333328</v>
      </c>
      <c r="N23" s="277">
        <f>SUM(N16:N22)</f>
        <v>41695.833333333328</v>
      </c>
      <c r="O23" s="277">
        <f>SUM(O16:O22)</f>
        <v>41695.833333333328</v>
      </c>
      <c r="P23" s="278">
        <f t="shared" si="0"/>
        <v>480549.99999999983</v>
      </c>
    </row>
    <row r="25" spans="1:16">
      <c r="A25" s="269" t="s">
        <v>128</v>
      </c>
      <c r="B25" s="270"/>
      <c r="C25" s="201"/>
      <c r="D25" s="259" t="s">
        <v>153</v>
      </c>
      <c r="E25" s="259" t="s">
        <v>68</v>
      </c>
      <c r="F25" s="259" t="s">
        <v>14</v>
      </c>
      <c r="G25" s="259" t="s">
        <v>15</v>
      </c>
      <c r="H25" s="259" t="s">
        <v>17</v>
      </c>
      <c r="I25" s="259" t="s">
        <v>175</v>
      </c>
      <c r="J25" s="259" t="s">
        <v>41</v>
      </c>
      <c r="K25" s="259" t="s">
        <v>42</v>
      </c>
      <c r="L25" s="259" t="s">
        <v>91</v>
      </c>
      <c r="M25" s="259" t="s">
        <v>176</v>
      </c>
      <c r="N25" s="259" t="s">
        <v>95</v>
      </c>
      <c r="O25" s="259" t="s">
        <v>96</v>
      </c>
      <c r="P25" s="260" t="s">
        <v>200</v>
      </c>
    </row>
    <row r="26" spans="1:16">
      <c r="A26" s="27"/>
      <c r="B26" s="275" t="s">
        <v>202</v>
      </c>
      <c r="C26" s="279"/>
      <c r="D26" s="280">
        <f t="shared" ref="D26:O26" si="2">D13-D23</f>
        <v>-12099.404761904756</v>
      </c>
      <c r="E26" s="280">
        <f t="shared" si="2"/>
        <v>-10220.833333333328</v>
      </c>
      <c r="F26" s="280">
        <f t="shared" si="2"/>
        <v>-8342.261904761901</v>
      </c>
      <c r="G26" s="280">
        <f t="shared" si="2"/>
        <v>-6463.6904761904698</v>
      </c>
      <c r="H26" s="280">
        <f t="shared" si="2"/>
        <v>-3645.8333333333285</v>
      </c>
      <c r="I26" s="280">
        <f t="shared" si="2"/>
        <v>-1767.261904761901</v>
      </c>
      <c r="J26" s="280">
        <f t="shared" si="2"/>
        <v>1050.595238095244</v>
      </c>
      <c r="K26" s="280">
        <f t="shared" si="2"/>
        <v>2929.1666666666715</v>
      </c>
      <c r="L26" s="280">
        <f t="shared" si="2"/>
        <v>2929.1666666666715</v>
      </c>
      <c r="M26" s="280">
        <f t="shared" si="2"/>
        <v>2929.1666666666715</v>
      </c>
      <c r="N26" s="280">
        <f t="shared" si="2"/>
        <v>2929.1666666666715</v>
      </c>
      <c r="O26" s="280">
        <f t="shared" si="2"/>
        <v>2929.1666666666715</v>
      </c>
      <c r="P26" s="281">
        <f>SUM(D26:O26)</f>
        <v>-26842.857142857087</v>
      </c>
    </row>
    <row r="27" spans="1:16">
      <c r="A27" s="199"/>
      <c r="B27" s="199"/>
      <c r="D27" s="282"/>
      <c r="E27" s="282"/>
      <c r="F27" s="282"/>
      <c r="G27" s="282"/>
      <c r="H27" s="282"/>
      <c r="I27" s="282"/>
      <c r="J27" s="282"/>
      <c r="K27" s="282"/>
    </row>
    <row r="28" spans="1:16" s="29" customFormat="1" ht="17">
      <c r="A28" s="283"/>
      <c r="B28" s="283"/>
      <c r="C28" s="284"/>
      <c r="D28" s="31"/>
      <c r="E28" s="31"/>
      <c r="F28" s="31"/>
      <c r="G28" s="31"/>
      <c r="H28" s="285"/>
      <c r="I28" s="31"/>
      <c r="J28" s="285"/>
      <c r="K28" s="31"/>
      <c r="L28" s="31"/>
      <c r="M28" s="31"/>
      <c r="N28" s="31"/>
      <c r="O28" s="285"/>
      <c r="P28" s="31"/>
    </row>
    <row r="29" spans="1:16" s="29" customFormat="1">
      <c r="D29" s="286"/>
      <c r="E29" s="287"/>
      <c r="F29" s="31"/>
      <c r="G29" s="31"/>
      <c r="H29" s="31"/>
      <c r="I29" s="31"/>
      <c r="J29" s="31"/>
      <c r="K29" s="285"/>
      <c r="L29" s="31"/>
      <c r="M29" s="31"/>
      <c r="N29" s="31"/>
      <c r="O29" s="31"/>
      <c r="P29" s="31"/>
    </row>
    <row r="30" spans="1:16" s="29" customFormat="1">
      <c r="D30" s="285"/>
      <c r="E30" s="31"/>
      <c r="F30" s="31"/>
      <c r="G30" s="31"/>
      <c r="H30" s="31"/>
      <c r="I30" s="31"/>
      <c r="J30" s="31"/>
      <c r="K30" s="31"/>
      <c r="L30" s="31"/>
      <c r="M30" s="31"/>
      <c r="N30" s="31"/>
      <c r="O30" s="31"/>
      <c r="P30" s="31"/>
    </row>
    <row r="31" spans="1:16" s="29" customFormat="1">
      <c r="D31" s="285"/>
      <c r="E31" s="288"/>
      <c r="F31" s="31"/>
      <c r="G31" s="31"/>
      <c r="H31" s="31"/>
      <c r="I31" s="31"/>
      <c r="J31" s="31"/>
      <c r="K31" s="31"/>
      <c r="L31" s="31"/>
      <c r="M31" s="31"/>
      <c r="N31" s="31"/>
      <c r="O31" s="31"/>
      <c r="P31" s="31"/>
    </row>
    <row r="32" spans="1:16" s="29" customFormat="1">
      <c r="D32" s="285"/>
      <c r="E32" s="31"/>
      <c r="F32" s="31"/>
      <c r="G32" s="31"/>
      <c r="H32" s="31"/>
      <c r="I32" s="31"/>
      <c r="J32" s="31"/>
      <c r="K32" s="31"/>
      <c r="L32" s="31"/>
      <c r="M32" s="31"/>
      <c r="N32" s="31"/>
      <c r="O32" s="31"/>
      <c r="P32" s="31"/>
    </row>
    <row r="33" spans="4:16" s="29" customFormat="1">
      <c r="D33" s="285"/>
      <c r="E33" s="31"/>
      <c r="F33" s="31"/>
      <c r="G33" s="31"/>
      <c r="H33" s="31"/>
      <c r="I33" s="31"/>
      <c r="J33" s="31"/>
      <c r="K33" s="31"/>
      <c r="L33" s="31"/>
      <c r="M33" s="31"/>
      <c r="N33" s="31"/>
      <c r="O33" s="31"/>
      <c r="P33" s="31"/>
    </row>
    <row r="34" spans="4:16" s="29" customFormat="1">
      <c r="D34" s="285"/>
      <c r="E34" s="31"/>
      <c r="F34" s="31"/>
      <c r="G34" s="31"/>
      <c r="H34" s="31"/>
      <c r="I34" s="31"/>
      <c r="J34" s="31"/>
      <c r="K34" s="31"/>
      <c r="L34" s="31"/>
      <c r="M34" s="31"/>
      <c r="N34" s="31"/>
      <c r="O34" s="31"/>
      <c r="P34" s="31"/>
    </row>
    <row r="35" spans="4:16" s="29" customFormat="1">
      <c r="D35" s="285"/>
      <c r="E35" s="31"/>
      <c r="F35" s="31"/>
      <c r="G35" s="31"/>
      <c r="H35" s="31"/>
      <c r="I35" s="31"/>
      <c r="J35" s="31"/>
      <c r="K35" s="31"/>
      <c r="L35" s="31"/>
      <c r="M35" s="31"/>
      <c r="N35" s="31"/>
      <c r="O35" s="31"/>
      <c r="P35" s="31"/>
    </row>
    <row r="36" spans="4:16" s="29" customFormat="1">
      <c r="D36" s="285"/>
      <c r="E36" s="31"/>
      <c r="F36" s="31"/>
      <c r="G36" s="31"/>
      <c r="H36" s="31"/>
      <c r="I36" s="31"/>
      <c r="J36" s="31"/>
      <c r="K36" s="31"/>
      <c r="L36" s="31"/>
      <c r="M36" s="31"/>
      <c r="N36" s="31"/>
      <c r="O36" s="31"/>
      <c r="P36" s="31"/>
    </row>
    <row r="37" spans="4:16" s="29" customFormat="1">
      <c r="D37" s="285"/>
      <c r="E37" s="31"/>
      <c r="F37" s="31"/>
      <c r="G37" s="31"/>
      <c r="H37" s="31"/>
      <c r="I37" s="31"/>
      <c r="J37" s="31"/>
      <c r="K37" s="31"/>
      <c r="L37" s="31"/>
      <c r="M37" s="31"/>
      <c r="N37" s="31"/>
      <c r="O37" s="31"/>
      <c r="P37" s="31"/>
    </row>
    <row r="38" spans="4:16" s="29" customFormat="1">
      <c r="D38" s="285"/>
      <c r="E38" s="31"/>
      <c r="F38" s="31"/>
      <c r="G38" s="31"/>
      <c r="H38" s="31"/>
      <c r="I38" s="31"/>
      <c r="J38" s="31"/>
      <c r="K38" s="31"/>
      <c r="L38" s="31"/>
      <c r="M38" s="31"/>
      <c r="N38" s="31"/>
      <c r="O38" s="31"/>
      <c r="P38" s="31"/>
    </row>
    <row r="39" spans="4:16" s="29" customFormat="1">
      <c r="D39" s="285"/>
      <c r="E39" s="31"/>
      <c r="F39" s="31"/>
      <c r="G39" s="31"/>
      <c r="H39" s="31"/>
      <c r="I39" s="31"/>
      <c r="J39" s="31"/>
      <c r="K39" s="31"/>
      <c r="L39" s="31"/>
      <c r="M39" s="31"/>
      <c r="N39" s="31"/>
      <c r="O39" s="31"/>
      <c r="P39" s="31"/>
    </row>
    <row r="40" spans="4:16" s="29" customFormat="1">
      <c r="D40" s="285"/>
      <c r="E40" s="31"/>
      <c r="F40" s="31"/>
      <c r="G40" s="31"/>
      <c r="H40" s="31"/>
      <c r="I40" s="31"/>
      <c r="J40" s="31"/>
      <c r="K40" s="31"/>
      <c r="L40" s="31"/>
      <c r="M40" s="31"/>
      <c r="N40" s="31"/>
      <c r="O40" s="31"/>
      <c r="P40" s="31"/>
    </row>
    <row r="41" spans="4:16" s="29" customFormat="1">
      <c r="D41" s="285"/>
      <c r="E41" s="31"/>
      <c r="F41" s="31"/>
      <c r="G41" s="31"/>
      <c r="H41" s="31"/>
      <c r="I41" s="31"/>
      <c r="J41" s="31"/>
      <c r="K41" s="31"/>
      <c r="L41" s="31"/>
      <c r="M41" s="31"/>
      <c r="N41" s="31"/>
      <c r="O41" s="31"/>
      <c r="P41" s="31"/>
    </row>
    <row r="42" spans="4:16" s="29" customFormat="1">
      <c r="D42" s="285"/>
      <c r="E42" s="31"/>
      <c r="F42" s="31"/>
      <c r="G42" s="31"/>
      <c r="H42" s="31"/>
      <c r="I42" s="31"/>
      <c r="J42" s="31"/>
      <c r="K42" s="31"/>
      <c r="L42" s="31"/>
      <c r="M42" s="31"/>
      <c r="N42" s="31"/>
      <c r="O42" s="31"/>
      <c r="P42" s="31"/>
    </row>
    <row r="43" spans="4:16" s="29" customFormat="1">
      <c r="D43" s="31"/>
      <c r="E43" s="31"/>
      <c r="F43" s="31"/>
      <c r="G43" s="31"/>
      <c r="H43" s="31"/>
      <c r="I43" s="31"/>
      <c r="J43" s="31"/>
      <c r="K43" s="31"/>
      <c r="L43" s="31"/>
      <c r="M43" s="31"/>
      <c r="N43" s="31"/>
      <c r="O43" s="31"/>
      <c r="P43" s="31"/>
    </row>
    <row r="44" spans="4:16" s="29" customFormat="1">
      <c r="D44" s="285"/>
      <c r="E44" s="31"/>
      <c r="F44" s="31"/>
      <c r="G44" s="31"/>
      <c r="H44" s="31"/>
      <c r="I44" s="31"/>
      <c r="J44" s="31"/>
      <c r="K44" s="31"/>
      <c r="L44" s="31"/>
      <c r="M44" s="31"/>
      <c r="N44" s="31"/>
      <c r="O44" s="31"/>
      <c r="P44" s="31"/>
    </row>
    <row r="45" spans="4:16" s="29" customFormat="1">
      <c r="D45" s="31"/>
      <c r="E45" s="31"/>
      <c r="F45" s="31"/>
      <c r="G45" s="31"/>
      <c r="H45" s="31"/>
      <c r="I45" s="31"/>
      <c r="J45" s="31"/>
      <c r="K45" s="31"/>
      <c r="L45" s="31"/>
      <c r="M45" s="31"/>
      <c r="N45" s="31"/>
      <c r="O45" s="31"/>
      <c r="P45" s="31"/>
    </row>
    <row r="46" spans="4:16" s="29" customFormat="1">
      <c r="D46" s="288"/>
      <c r="E46" s="31"/>
      <c r="F46" s="31"/>
      <c r="G46" s="31"/>
      <c r="H46" s="31"/>
      <c r="I46" s="31"/>
      <c r="J46" s="31"/>
      <c r="K46" s="31"/>
      <c r="L46" s="31"/>
      <c r="M46" s="31"/>
      <c r="N46" s="31"/>
      <c r="O46" s="31"/>
      <c r="P46" s="31"/>
    </row>
    <row r="47" spans="4:16" s="29" customFormat="1">
      <c r="D47" s="31"/>
      <c r="E47" s="31"/>
      <c r="F47" s="285"/>
      <c r="G47" s="31"/>
      <c r="H47" s="31"/>
      <c r="I47" s="31"/>
      <c r="J47" s="31"/>
      <c r="K47" s="31"/>
      <c r="L47" s="31"/>
      <c r="M47" s="31"/>
      <c r="N47" s="31"/>
      <c r="O47" s="31"/>
      <c r="P47" s="31"/>
    </row>
    <row r="48" spans="4:16" s="29" customFormat="1" ht="14" customHeight="1">
      <c r="D48" s="31"/>
      <c r="E48" s="31"/>
      <c r="F48" s="285"/>
      <c r="G48" s="31"/>
      <c r="H48" s="31"/>
      <c r="I48" s="31"/>
      <c r="J48" s="31"/>
      <c r="K48" s="31"/>
      <c r="L48" s="31"/>
      <c r="M48" s="31"/>
      <c r="N48" s="31"/>
      <c r="O48" s="31"/>
      <c r="P48" s="31"/>
    </row>
    <row r="49" spans="1:4" ht="14" customHeight="1"/>
    <row r="50" spans="1:4" ht="14" customHeight="1"/>
    <row r="55" spans="1:4">
      <c r="A55" s="289"/>
      <c r="B55" s="289"/>
      <c r="C55" s="289"/>
      <c r="D55" s="290"/>
    </row>
    <row r="59" spans="1:4">
      <c r="C59" s="197"/>
      <c r="D59" s="282"/>
    </row>
    <row r="60" spans="1:4">
      <c r="C60" s="197"/>
    </row>
  </sheetData>
  <mergeCells count="6">
    <mergeCell ref="B16:C16"/>
    <mergeCell ref="C3:F3"/>
    <mergeCell ref="B10:C10"/>
    <mergeCell ref="B11:C11"/>
    <mergeCell ref="B12:C12"/>
    <mergeCell ref="B13:C13"/>
  </mergeCells>
  <phoneticPr fontId="3" type="noConversion"/>
  <dataValidations disablePrompts="1" count="2">
    <dataValidation allowBlank="1" showInputMessage="1" showErrorMessage="1" error="Please enter an amount between -10,000,000 and 10,000,000." sqref="G7 G5"/>
    <dataValidation type="decimal" allowBlank="1" showInputMessage="1" showErrorMessage="1" error="Please enter an amount between -10,000,000 and 10,000,000." sqref="E7:F7 E5:F5 E2:F2">
      <formula1>-10000000</formula1>
      <formula2>10000000</formula2>
    </dataValidation>
  </dataValidations>
  <pageMargins left="0.75" right="0.75" top="0.75" bottom="0.75" header="0.5" footer="0.5"/>
  <pageSetup scale="64" orientation="landscape"/>
  <headerFooter>
    <oddHeader>&amp;R&amp;G</oddHeader>
    <oddFooter>&amp;C&amp;"Helvetica Neue,Regular"&amp;8Updated: 1/23/18</oddFooter>
  </headerFooter>
  <legacyDrawingHF r:id="rId1"/>
  <extLst>
    <ext xmlns:mx="http://schemas.microsoft.com/office/mac/excel/2008/main" uri="{64002731-A6B0-56B0-2670-7721B7C09600}">
      <mx:PLV Mode="1"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L58"/>
  <sheetViews>
    <sheetView showGridLines="0" view="pageLayout" workbookViewId="0">
      <selection activeCell="D57" sqref="D57"/>
    </sheetView>
  </sheetViews>
  <sheetFormatPr baseColWidth="10" defaultColWidth="8" defaultRowHeight="13" x14ac:dyDescent="0"/>
  <cols>
    <col min="1" max="1" width="1.28515625" style="2" customWidth="1"/>
    <col min="2" max="2" width="13.5703125" style="2" customWidth="1"/>
    <col min="3" max="3" width="10.7109375" style="2" customWidth="1"/>
    <col min="4" max="4" width="12.7109375" style="157" customWidth="1"/>
    <col min="5" max="5" width="7.42578125" style="110" customWidth="1"/>
    <col min="6" max="6" width="9.42578125" style="110" customWidth="1"/>
    <col min="7" max="7" width="4.28515625" style="157" customWidth="1"/>
    <col min="8" max="8" width="1.7109375" style="2" customWidth="1"/>
    <col min="9" max="9" width="22.42578125" style="2" customWidth="1"/>
    <col min="10" max="10" width="8.42578125" style="2" customWidth="1"/>
    <col min="11" max="11" width="6.5703125" style="2" customWidth="1"/>
    <col min="12" max="16384" width="8" style="2"/>
  </cols>
  <sheetData>
    <row r="1" spans="1:12" ht="23">
      <c r="A1" s="1" t="s">
        <v>37</v>
      </c>
      <c r="B1" s="4"/>
      <c r="C1" s="4"/>
      <c r="D1" s="4"/>
      <c r="E1" s="5"/>
      <c r="F1" s="5"/>
      <c r="G1" s="6"/>
      <c r="H1" s="7"/>
    </row>
    <row r="2" spans="1:12" ht="18" customHeight="1">
      <c r="A2" s="359"/>
      <c r="B2" s="359"/>
      <c r="C2" s="359"/>
      <c r="D2" s="8"/>
      <c r="E2" s="9"/>
      <c r="F2" s="5"/>
      <c r="G2" s="4"/>
      <c r="H2" s="7"/>
    </row>
    <row r="3" spans="1:12" ht="18" customHeight="1">
      <c r="A3" s="59" t="s">
        <v>156</v>
      </c>
      <c r="B3" s="59"/>
      <c r="C3" s="60" t="str">
        <f>'Step 2'!C3</f>
        <v>Sample Clinic</v>
      </c>
      <c r="D3" s="61"/>
      <c r="E3" s="62"/>
      <c r="F3" s="5"/>
      <c r="G3" s="4"/>
      <c r="H3" s="7"/>
    </row>
    <row r="4" spans="1:12" ht="18" customHeight="1">
      <c r="A4" s="14" t="s">
        <v>129</v>
      </c>
      <c r="B4" s="14"/>
      <c r="C4" s="14"/>
      <c r="D4" s="14"/>
      <c r="E4" s="16"/>
      <c r="F4" s="16"/>
      <c r="G4" s="14"/>
      <c r="H4" s="16"/>
      <c r="I4" s="17"/>
    </row>
    <row r="5" spans="1:12" ht="18" customHeight="1">
      <c r="A5" s="59"/>
      <c r="B5" s="59"/>
      <c r="C5" s="59"/>
      <c r="D5" s="65"/>
      <c r="E5" s="9"/>
      <c r="F5" s="9"/>
      <c r="G5" s="65"/>
      <c r="H5" s="291"/>
      <c r="I5" s="291"/>
    </row>
    <row r="6" spans="1:12" ht="18" customHeight="1">
      <c r="A6" s="292" t="s">
        <v>27</v>
      </c>
      <c r="B6" s="163"/>
      <c r="C6" s="163"/>
      <c r="D6" s="66"/>
      <c r="E6" s="9"/>
      <c r="F6" s="9"/>
      <c r="G6" s="65"/>
      <c r="H6" s="375" t="s">
        <v>28</v>
      </c>
      <c r="I6" s="392"/>
      <c r="J6" s="293"/>
    </row>
    <row r="7" spans="1:12" ht="18" customHeight="1">
      <c r="A7" s="27"/>
      <c r="B7" s="294" t="s">
        <v>59</v>
      </c>
      <c r="C7" s="294"/>
      <c r="D7" s="295">
        <f>J7*J9+'Yearly Summary'!P12</f>
        <v>453707.14285714284</v>
      </c>
      <c r="E7" s="20"/>
      <c r="F7" s="20"/>
      <c r="G7" s="13"/>
      <c r="H7" s="73"/>
      <c r="I7" s="22" t="s">
        <v>48</v>
      </c>
      <c r="J7" s="296">
        <f>'Yearly Summary'!P10</f>
        <v>7080</v>
      </c>
    </row>
    <row r="8" spans="1:12" s="13" customFormat="1" ht="18" customHeight="1">
      <c r="E8" s="20"/>
      <c r="F8" s="20"/>
      <c r="H8" s="21"/>
      <c r="I8" s="22" t="s">
        <v>49</v>
      </c>
      <c r="J8" s="39">
        <f>J54/J7</f>
        <v>67.874293785310741</v>
      </c>
    </row>
    <row r="9" spans="1:12" s="13" customFormat="1" ht="18" customHeight="1">
      <c r="A9" s="96"/>
      <c r="B9" s="96"/>
      <c r="C9" s="96"/>
      <c r="D9" s="78"/>
      <c r="E9" s="10"/>
      <c r="F9" s="10"/>
      <c r="G9" s="78"/>
      <c r="H9" s="27"/>
      <c r="I9" s="297" t="s">
        <v>51</v>
      </c>
      <c r="J9" s="39">
        <f>'Step 2'!J10</f>
        <v>61.964285714285715</v>
      </c>
    </row>
    <row r="10" spans="1:12" s="13" customFormat="1" ht="18" customHeight="1">
      <c r="A10" s="292" t="s">
        <v>115</v>
      </c>
      <c r="B10" s="163"/>
      <c r="C10" s="163"/>
      <c r="D10" s="98"/>
      <c r="E10" s="298"/>
      <c r="F10" s="99"/>
      <c r="G10" s="65"/>
    </row>
    <row r="11" spans="1:12" s="13" customFormat="1" ht="18" customHeight="1">
      <c r="A11" s="68"/>
      <c r="B11" s="69" t="s">
        <v>116</v>
      </c>
      <c r="C11" s="69"/>
      <c r="D11" s="174">
        <f>'Step 2'!D18</f>
        <v>3000</v>
      </c>
      <c r="E11" s="299">
        <f t="shared" ref="E11:E18" si="0">D11/$J$54</f>
        <v>6.2428467381125795E-3</v>
      </c>
      <c r="F11" s="300">
        <f>J8*E11</f>
        <v>0.42372881355932207</v>
      </c>
      <c r="G11" s="301"/>
    </row>
    <row r="12" spans="1:12" s="13" customFormat="1" ht="18" customHeight="1" thickBot="1">
      <c r="A12" s="68"/>
      <c r="B12" s="69" t="s">
        <v>198</v>
      </c>
      <c r="C12" s="69"/>
      <c r="D12" s="174">
        <f>J7*'Step 2'!J11</f>
        <v>106200</v>
      </c>
      <c r="E12" s="299">
        <f t="shared" si="0"/>
        <v>0.22099677452918531</v>
      </c>
      <c r="F12" s="300">
        <f>J8*E12</f>
        <v>15.000000000000002</v>
      </c>
      <c r="G12" s="301"/>
      <c r="H12" s="375" t="s">
        <v>76</v>
      </c>
      <c r="I12" s="381"/>
      <c r="J12" s="67"/>
      <c r="K12" s="302"/>
      <c r="L12" s="303"/>
    </row>
    <row r="13" spans="1:12" ht="18" customHeight="1">
      <c r="A13" s="68"/>
      <c r="B13" s="69" t="s">
        <v>44</v>
      </c>
      <c r="C13" s="69"/>
      <c r="D13" s="174">
        <f>'Step 2'!D20</f>
        <v>3000</v>
      </c>
      <c r="E13" s="299">
        <f t="shared" si="0"/>
        <v>6.2428467381125795E-3</v>
      </c>
      <c r="F13" s="300">
        <f>J8*E13</f>
        <v>0.42372881355932207</v>
      </c>
      <c r="G13" s="301"/>
      <c r="H13" s="73"/>
      <c r="I13" s="101" t="s">
        <v>133</v>
      </c>
      <c r="J13" s="304">
        <f>'Step 2'!J19</f>
        <v>1</v>
      </c>
      <c r="K13" s="305"/>
      <c r="L13" s="306"/>
    </row>
    <row r="14" spans="1:12" ht="18" customHeight="1" thickBot="1">
      <c r="A14" s="68"/>
      <c r="B14" s="69" t="s">
        <v>56</v>
      </c>
      <c r="C14" s="69"/>
      <c r="D14" s="174">
        <f>'Step 2'!D21</f>
        <v>172000</v>
      </c>
      <c r="E14" s="299">
        <f t="shared" si="0"/>
        <v>0.3579232129851212</v>
      </c>
      <c r="F14" s="300">
        <f>J8*E14</f>
        <v>24.293785310734464</v>
      </c>
      <c r="G14" s="301"/>
      <c r="H14" s="73"/>
      <c r="I14" s="103" t="s">
        <v>134</v>
      </c>
      <c r="J14" s="307">
        <f>'Step 2'!J20</f>
        <v>78000</v>
      </c>
      <c r="K14" s="308"/>
      <c r="L14" s="309"/>
    </row>
    <row r="15" spans="1:12" ht="18" customHeight="1" thickTop="1" thickBot="1">
      <c r="A15" s="68"/>
      <c r="B15" s="69" t="s">
        <v>155</v>
      </c>
      <c r="C15" s="69"/>
      <c r="D15" s="174">
        <f>'Step 2'!D22</f>
        <v>0</v>
      </c>
      <c r="E15" s="299">
        <f t="shared" si="0"/>
        <v>0</v>
      </c>
      <c r="F15" s="300">
        <f>J8*E15</f>
        <v>0</v>
      </c>
      <c r="G15" s="301"/>
      <c r="H15" s="73"/>
      <c r="I15" s="94" t="s">
        <v>135</v>
      </c>
      <c r="J15" s="310">
        <f>'Step 2'!J21</f>
        <v>78000</v>
      </c>
      <c r="K15" s="311">
        <f>J15/$J$54</f>
        <v>0.16231401519092706</v>
      </c>
      <c r="L15" s="312">
        <f>K15*J8/J13</f>
        <v>11.016949152542374</v>
      </c>
    </row>
    <row r="16" spans="1:12" ht="18" customHeight="1">
      <c r="A16" s="68"/>
      <c r="B16" s="69" t="s">
        <v>105</v>
      </c>
      <c r="C16" s="69"/>
      <c r="D16" s="174">
        <f>'Step 2'!D23</f>
        <v>25800</v>
      </c>
      <c r="E16" s="299">
        <f t="shared" si="0"/>
        <v>5.368848194776818E-2</v>
      </c>
      <c r="F16" s="300">
        <f>J8*E16</f>
        <v>3.6440677966101696</v>
      </c>
      <c r="G16" s="301"/>
      <c r="H16" s="73"/>
      <c r="I16" s="106" t="s">
        <v>107</v>
      </c>
      <c r="J16" s="304">
        <f>'Step 2'!J22</f>
        <v>1</v>
      </c>
      <c r="K16" s="313"/>
      <c r="L16" s="314"/>
    </row>
    <row r="17" spans="1:12" ht="18" customHeight="1" thickBot="1">
      <c r="A17" s="81"/>
      <c r="B17" s="82" t="s">
        <v>152</v>
      </c>
      <c r="C17" s="82"/>
      <c r="D17" s="174">
        <f>'Step 2'!D24</f>
        <v>13000</v>
      </c>
      <c r="E17" s="315">
        <f t="shared" si="0"/>
        <v>2.7052335865154511E-2</v>
      </c>
      <c r="F17" s="316">
        <f>J8*E17</f>
        <v>1.8361581920903958</v>
      </c>
      <c r="G17" s="78"/>
      <c r="H17" s="73"/>
      <c r="I17" s="103" t="s">
        <v>113</v>
      </c>
      <c r="J17" s="307">
        <f>'Step 2'!J23</f>
        <v>32000</v>
      </c>
      <c r="K17" s="308"/>
      <c r="L17" s="317"/>
    </row>
    <row r="18" spans="1:12" ht="18" customHeight="1" thickTop="1" thickBot="1">
      <c r="A18" s="154"/>
      <c r="B18" s="318" t="s">
        <v>52</v>
      </c>
      <c r="C18" s="318"/>
      <c r="D18" s="155">
        <f>SUM(D11:D17)</f>
        <v>323000</v>
      </c>
      <c r="E18" s="319">
        <f t="shared" si="0"/>
        <v>0.67214649880345434</v>
      </c>
      <c r="F18" s="320">
        <f>J8*E18</f>
        <v>45.621468926553675</v>
      </c>
      <c r="G18" s="65"/>
      <c r="H18" s="73"/>
      <c r="I18" s="94" t="s">
        <v>114</v>
      </c>
      <c r="J18" s="310">
        <f>'Step 2'!J24</f>
        <v>32000</v>
      </c>
      <c r="K18" s="311">
        <f>J18/$J$54</f>
        <v>6.6590365206534177E-2</v>
      </c>
      <c r="L18" s="312">
        <f>K18*J8/J16</f>
        <v>4.5197740112994351</v>
      </c>
    </row>
    <row r="19" spans="1:12" ht="18" customHeight="1">
      <c r="A19" s="96"/>
      <c r="B19" s="13"/>
      <c r="C19" s="13"/>
      <c r="D19" s="182"/>
      <c r="E19" s="164"/>
      <c r="F19" s="9"/>
      <c r="G19" s="65"/>
      <c r="H19" s="73"/>
      <c r="I19" s="112" t="s">
        <v>136</v>
      </c>
      <c r="J19" s="304">
        <f>'Step 2'!J25</f>
        <v>2</v>
      </c>
      <c r="K19" s="313"/>
      <c r="L19" s="314"/>
    </row>
    <row r="20" spans="1:12" ht="18" customHeight="1" thickBot="1">
      <c r="A20" s="96"/>
      <c r="B20" s="96"/>
      <c r="C20" s="96"/>
      <c r="D20" s="65"/>
      <c r="E20" s="9"/>
      <c r="F20" s="321"/>
      <c r="G20" s="65"/>
      <c r="H20" s="73"/>
      <c r="I20" s="103" t="s">
        <v>137</v>
      </c>
      <c r="J20" s="307">
        <f>'Step 2'!J26</f>
        <v>22000</v>
      </c>
      <c r="K20" s="308"/>
      <c r="L20" s="317"/>
    </row>
    <row r="21" spans="1:12" ht="18" customHeight="1" thickTop="1" thickBot="1">
      <c r="A21" s="292" t="s">
        <v>46</v>
      </c>
      <c r="B21" s="163"/>
      <c r="C21" s="163"/>
      <c r="D21" s="98"/>
      <c r="E21" s="298"/>
      <c r="F21" s="99"/>
      <c r="G21" s="65"/>
      <c r="H21" s="73"/>
      <c r="I21" s="94" t="s">
        <v>138</v>
      </c>
      <c r="J21" s="310">
        <f>'Step 2'!J27</f>
        <v>44000</v>
      </c>
      <c r="K21" s="311">
        <f>J21/$J$54</f>
        <v>9.1561752158984502E-2</v>
      </c>
      <c r="L21" s="312">
        <f>K21*J8/J19</f>
        <v>3.107344632768362</v>
      </c>
    </row>
    <row r="22" spans="1:12" ht="18" customHeight="1">
      <c r="A22" s="68"/>
      <c r="B22" s="69" t="s">
        <v>199</v>
      </c>
      <c r="C22" s="69"/>
      <c r="D22" s="174">
        <f>'Step 2'!D30</f>
        <v>78000</v>
      </c>
      <c r="E22" s="299">
        <f t="shared" ref="E22:E52" si="1">D22/$J$54</f>
        <v>0.16231401519092706</v>
      </c>
      <c r="F22" s="300">
        <f>J8*E22</f>
        <v>11.016949152542374</v>
      </c>
      <c r="G22" s="65"/>
      <c r="H22" s="73"/>
      <c r="I22" s="112" t="s">
        <v>180</v>
      </c>
      <c r="J22" s="304">
        <f>'Step 2'!J28</f>
        <v>1</v>
      </c>
      <c r="K22" s="313"/>
      <c r="L22" s="314"/>
    </row>
    <row r="23" spans="1:12" ht="18" customHeight="1" thickBot="1">
      <c r="A23" s="68"/>
      <c r="B23" s="69" t="s">
        <v>105</v>
      </c>
      <c r="C23" s="69"/>
      <c r="D23" s="174">
        <f>'Step 2'!D31</f>
        <v>11700</v>
      </c>
      <c r="E23" s="299">
        <f t="shared" si="1"/>
        <v>2.4347102278639059E-2</v>
      </c>
      <c r="F23" s="300">
        <f>J8*E23</f>
        <v>1.652542372881356</v>
      </c>
      <c r="G23" s="65"/>
      <c r="H23" s="73"/>
      <c r="I23" s="103" t="s">
        <v>60</v>
      </c>
      <c r="J23" s="307">
        <f>'Step 2'!J29</f>
        <v>18000</v>
      </c>
      <c r="K23" s="308"/>
      <c r="L23" s="317"/>
    </row>
    <row r="24" spans="1:12" ht="18" customHeight="1" thickTop="1" thickBot="1">
      <c r="A24" s="68"/>
      <c r="B24" s="69" t="s">
        <v>33</v>
      </c>
      <c r="C24" s="69"/>
      <c r="D24" s="174">
        <f>'Step 2'!D32</f>
        <v>6500</v>
      </c>
      <c r="E24" s="299">
        <f t="shared" si="1"/>
        <v>1.3526167932577255E-2</v>
      </c>
      <c r="F24" s="300">
        <f>J8*E24</f>
        <v>0.91807909604519788</v>
      </c>
      <c r="G24" s="65"/>
      <c r="H24" s="73"/>
      <c r="I24" s="94" t="s">
        <v>210</v>
      </c>
      <c r="J24" s="310">
        <f>'Step 2'!J30</f>
        <v>18000</v>
      </c>
      <c r="K24" s="311">
        <f>J24/$J$54</f>
        <v>3.7457080428675474E-2</v>
      </c>
      <c r="L24" s="312">
        <f>K24*J8/J22</f>
        <v>2.5423728813559321</v>
      </c>
    </row>
    <row r="25" spans="1:12" ht="18" customHeight="1" thickBot="1">
      <c r="A25" s="68"/>
      <c r="B25" s="69" t="s">
        <v>13</v>
      </c>
      <c r="C25" s="69"/>
      <c r="D25" s="174">
        <f>'Step 2'!D33</f>
        <v>2000</v>
      </c>
      <c r="E25" s="299">
        <f t="shared" si="1"/>
        <v>4.1618978254083861E-3</v>
      </c>
      <c r="F25" s="300">
        <f>J8*E25</f>
        <v>0.2824858757062147</v>
      </c>
      <c r="G25" s="65"/>
      <c r="H25" s="118"/>
      <c r="I25" s="185" t="s">
        <v>77</v>
      </c>
      <c r="J25" s="322">
        <f>SUM(J15+J18+J21+J24)</f>
        <v>172000</v>
      </c>
      <c r="K25" s="323">
        <f>J25/$J$54</f>
        <v>0.3579232129851212</v>
      </c>
      <c r="L25" s="324"/>
    </row>
    <row r="26" spans="1:12" ht="18" customHeight="1" thickBot="1">
      <c r="A26" s="68"/>
      <c r="B26" s="69" t="s">
        <v>67</v>
      </c>
      <c r="C26" s="69"/>
      <c r="D26" s="174">
        <f>'Step 2'!D34</f>
        <v>0</v>
      </c>
      <c r="E26" s="299">
        <f t="shared" si="1"/>
        <v>0</v>
      </c>
      <c r="F26" s="300">
        <f>J8*E26</f>
        <v>0</v>
      </c>
      <c r="G26" s="65"/>
      <c r="H26" s="121" t="s">
        <v>78</v>
      </c>
      <c r="I26" s="121"/>
      <c r="J26" s="325"/>
      <c r="K26" s="232"/>
      <c r="L26" s="232"/>
    </row>
    <row r="27" spans="1:12" ht="18" customHeight="1">
      <c r="A27" s="68"/>
      <c r="B27" s="69" t="s">
        <v>47</v>
      </c>
      <c r="C27" s="69"/>
      <c r="D27" s="174">
        <f>'Step 2'!D35</f>
        <v>500</v>
      </c>
      <c r="E27" s="299">
        <f t="shared" si="1"/>
        <v>1.0404744563520965E-3</v>
      </c>
      <c r="F27" s="300">
        <f>J8*E27</f>
        <v>7.0621468926553674E-2</v>
      </c>
      <c r="G27" s="65"/>
      <c r="H27" s="73"/>
      <c r="I27" s="101" t="s">
        <v>208</v>
      </c>
      <c r="J27" s="304">
        <f>'Step 2'!J33</f>
        <v>0</v>
      </c>
      <c r="K27" s="313"/>
      <c r="L27" s="314"/>
    </row>
    <row r="28" spans="1:12" ht="18" customHeight="1" thickBot="1">
      <c r="A28" s="68"/>
      <c r="B28" s="69" t="s">
        <v>197</v>
      </c>
      <c r="C28" s="69"/>
      <c r="D28" s="174">
        <f>'Step 2'!D36</f>
        <v>2500</v>
      </c>
      <c r="E28" s="299">
        <f t="shared" si="1"/>
        <v>5.2023722817604824E-3</v>
      </c>
      <c r="F28" s="300">
        <f>J8*E28</f>
        <v>0.35310734463276838</v>
      </c>
      <c r="G28" s="13"/>
      <c r="H28" s="73"/>
      <c r="I28" s="103" t="s">
        <v>209</v>
      </c>
      <c r="J28" s="307">
        <f>'Step 2'!J34</f>
        <v>0</v>
      </c>
      <c r="K28" s="308"/>
      <c r="L28" s="317"/>
    </row>
    <row r="29" spans="1:12" ht="18" customHeight="1" thickTop="1" thickBot="1">
      <c r="A29" s="68"/>
      <c r="B29" s="69" t="s">
        <v>109</v>
      </c>
      <c r="C29" s="69"/>
      <c r="D29" s="174">
        <f>'Step 2'!D37</f>
        <v>0</v>
      </c>
      <c r="E29" s="299">
        <f t="shared" si="1"/>
        <v>0</v>
      </c>
      <c r="F29" s="300">
        <f>J8*E29</f>
        <v>0</v>
      </c>
      <c r="G29" s="138"/>
      <c r="H29" s="73"/>
      <c r="I29" s="94" t="s">
        <v>58</v>
      </c>
      <c r="J29" s="310">
        <f>'Step 2'!J35</f>
        <v>0</v>
      </c>
      <c r="K29" s="311">
        <f>J29/$J$54</f>
        <v>0</v>
      </c>
      <c r="L29" s="312" t="e">
        <f>K29*J8/J27</f>
        <v>#DIV/0!</v>
      </c>
    </row>
    <row r="30" spans="1:12" ht="18" customHeight="1">
      <c r="A30" s="68"/>
      <c r="B30" s="69" t="s">
        <v>110</v>
      </c>
      <c r="C30" s="69"/>
      <c r="D30" s="174">
        <f>'Step 2'!D38</f>
        <v>100</v>
      </c>
      <c r="E30" s="299">
        <f t="shared" si="1"/>
        <v>2.0809489127041931E-4</v>
      </c>
      <c r="F30" s="300">
        <f>J8*E30</f>
        <v>1.4124293785310736E-2</v>
      </c>
      <c r="G30" s="65"/>
      <c r="H30" s="73"/>
      <c r="I30" s="112" t="s">
        <v>97</v>
      </c>
      <c r="J30" s="304">
        <f>'Step 2'!J36</f>
        <v>1</v>
      </c>
      <c r="K30" s="313"/>
      <c r="L30" s="314"/>
    </row>
    <row r="31" spans="1:12" ht="18" customHeight="1" thickBot="1">
      <c r="A31" s="68"/>
      <c r="B31" s="69" t="s">
        <v>111</v>
      </c>
      <c r="C31" s="69"/>
      <c r="D31" s="174">
        <f>'Step 2'!D39</f>
        <v>750</v>
      </c>
      <c r="E31" s="299">
        <f t="shared" si="1"/>
        <v>1.5607116845281449E-3</v>
      </c>
      <c r="F31" s="300">
        <f>J8*E31</f>
        <v>0.10593220338983052</v>
      </c>
      <c r="G31" s="13"/>
      <c r="H31" s="73"/>
      <c r="I31" s="103" t="s">
        <v>98</v>
      </c>
      <c r="J31" s="307">
        <f>'Step 2'!J37</f>
        <v>45000</v>
      </c>
      <c r="K31" s="308"/>
      <c r="L31" s="317"/>
    </row>
    <row r="32" spans="1:12" ht="18" customHeight="1" thickTop="1" thickBot="1">
      <c r="A32" s="68"/>
      <c r="B32" s="69" t="s">
        <v>108</v>
      </c>
      <c r="C32" s="69"/>
      <c r="D32" s="174">
        <f>'Step 2'!D40</f>
        <v>1000</v>
      </c>
      <c r="E32" s="299">
        <f t="shared" si="1"/>
        <v>2.080948912704193E-3</v>
      </c>
      <c r="F32" s="300">
        <f>J8*E32</f>
        <v>0.14124293785310735</v>
      </c>
      <c r="G32" s="13"/>
      <c r="H32" s="73"/>
      <c r="I32" s="94" t="s">
        <v>99</v>
      </c>
      <c r="J32" s="310">
        <f>'Step 2'!J38</f>
        <v>45000</v>
      </c>
      <c r="K32" s="326">
        <f>J32/$J$54</f>
        <v>9.3642701071688692E-2</v>
      </c>
      <c r="L32" s="327">
        <f>K32*J8/J30</f>
        <v>6.3559322033898313</v>
      </c>
    </row>
    <row r="33" spans="1:12" ht="18" customHeight="1">
      <c r="A33" s="68"/>
      <c r="B33" s="69" t="s">
        <v>159</v>
      </c>
      <c r="C33" s="69"/>
      <c r="D33" s="174">
        <f>'Step 2'!D41</f>
        <v>0</v>
      </c>
      <c r="E33" s="299">
        <f t="shared" si="1"/>
        <v>0</v>
      </c>
      <c r="F33" s="300">
        <f>J8*E33</f>
        <v>0</v>
      </c>
      <c r="G33" s="13"/>
      <c r="H33" s="73"/>
      <c r="I33" s="112" t="s">
        <v>34</v>
      </c>
      <c r="J33" s="304">
        <f>'Step 2'!J39</f>
        <v>1.5</v>
      </c>
      <c r="K33" s="313"/>
      <c r="L33" s="314"/>
    </row>
    <row r="34" spans="1:12" ht="18" customHeight="1" thickBot="1">
      <c r="A34" s="68"/>
      <c r="B34" s="69" t="s">
        <v>160</v>
      </c>
      <c r="C34" s="69"/>
      <c r="D34" s="174">
        <f>'Step 2'!D42</f>
        <v>2000</v>
      </c>
      <c r="E34" s="299">
        <f t="shared" si="1"/>
        <v>4.1618978254083861E-3</v>
      </c>
      <c r="F34" s="300">
        <f>J8*E34</f>
        <v>0.2824858757062147</v>
      </c>
      <c r="G34" s="13"/>
      <c r="H34" s="73"/>
      <c r="I34" s="103" t="s">
        <v>35</v>
      </c>
      <c r="J34" s="307">
        <f>'Step 2'!J40</f>
        <v>22000</v>
      </c>
      <c r="K34" s="328"/>
      <c r="L34" s="329"/>
    </row>
    <row r="35" spans="1:12" ht="18" customHeight="1" thickTop="1" thickBot="1">
      <c r="A35" s="68"/>
      <c r="B35" s="69" t="s">
        <v>81</v>
      </c>
      <c r="C35" s="69"/>
      <c r="D35" s="174">
        <f>'Step 2'!D43</f>
        <v>1500</v>
      </c>
      <c r="E35" s="299">
        <f t="shared" si="1"/>
        <v>3.1214233690562898E-3</v>
      </c>
      <c r="F35" s="300">
        <f>J8*E35</f>
        <v>0.21186440677966104</v>
      </c>
      <c r="G35" s="13"/>
      <c r="H35" s="73"/>
      <c r="I35" s="124" t="s">
        <v>172</v>
      </c>
      <c r="J35" s="310">
        <f>'Step 2'!J41</f>
        <v>33000</v>
      </c>
      <c r="K35" s="311">
        <f>J35/$J$54</f>
        <v>6.8671314119238366E-2</v>
      </c>
      <c r="L35" s="312">
        <f>K35*J8/J33</f>
        <v>3.1073446327683616</v>
      </c>
    </row>
    <row r="36" spans="1:12" ht="18" customHeight="1" thickBot="1">
      <c r="A36" s="68"/>
      <c r="B36" s="69" t="s">
        <v>90</v>
      </c>
      <c r="C36" s="69"/>
      <c r="D36" s="174">
        <f>'Step 2'!D44</f>
        <v>500</v>
      </c>
      <c r="E36" s="299">
        <f t="shared" si="1"/>
        <v>1.0404744563520965E-3</v>
      </c>
      <c r="F36" s="300">
        <f>J8*E36</f>
        <v>7.0621468926553674E-2</v>
      </c>
      <c r="G36" s="13"/>
      <c r="H36" s="68"/>
      <c r="I36" s="185" t="s">
        <v>79</v>
      </c>
      <c r="J36" s="330">
        <f>'Step 2'!J42</f>
        <v>78000</v>
      </c>
      <c r="K36" s="323">
        <f>J36/$J$54</f>
        <v>0.16231401519092706</v>
      </c>
      <c r="L36" s="324"/>
    </row>
    <row r="37" spans="1:12" ht="18" customHeight="1" thickBot="1">
      <c r="A37" s="68"/>
      <c r="B37" s="69" t="s">
        <v>25</v>
      </c>
      <c r="C37" s="69"/>
      <c r="D37" s="174">
        <f>'Step 2'!D45</f>
        <v>2000</v>
      </c>
      <c r="E37" s="299">
        <f t="shared" si="1"/>
        <v>4.1618978254083861E-3</v>
      </c>
      <c r="F37" s="300">
        <f>J8*E37</f>
        <v>0.2824858757062147</v>
      </c>
      <c r="G37" s="13"/>
      <c r="H37" s="93"/>
      <c r="I37" s="331" t="s">
        <v>80</v>
      </c>
      <c r="J37" s="121">
        <f>J25+J36</f>
        <v>250000</v>
      </c>
      <c r="K37" s="332">
        <f>J37/$J$54</f>
        <v>0.52023722817604823</v>
      </c>
      <c r="L37" s="333">
        <f>K37*J8</f>
        <v>35.310734463276837</v>
      </c>
    </row>
    <row r="38" spans="1:12" ht="18" customHeight="1">
      <c r="A38" s="68"/>
      <c r="B38" s="69" t="s">
        <v>26</v>
      </c>
      <c r="C38" s="69"/>
      <c r="D38" s="174">
        <f>'Step 2'!D46</f>
        <v>500</v>
      </c>
      <c r="E38" s="299">
        <f t="shared" si="1"/>
        <v>1.0404744563520965E-3</v>
      </c>
      <c r="F38" s="300">
        <f>J8*E38</f>
        <v>7.0621468926553674E-2</v>
      </c>
      <c r="G38" s="13"/>
    </row>
    <row r="39" spans="1:12" ht="18" customHeight="1">
      <c r="A39" s="68"/>
      <c r="B39" s="69" t="s">
        <v>225</v>
      </c>
      <c r="C39" s="69"/>
      <c r="D39" s="174">
        <f>'Step 2'!D47</f>
        <v>2000</v>
      </c>
      <c r="E39" s="299">
        <f t="shared" si="1"/>
        <v>4.1618978254083861E-3</v>
      </c>
      <c r="F39" s="300">
        <f>J8*E39</f>
        <v>0.2824858757062147</v>
      </c>
      <c r="G39" s="13"/>
    </row>
    <row r="40" spans="1:12" ht="18" customHeight="1">
      <c r="A40" s="68"/>
      <c r="B40" s="69" t="s">
        <v>5</v>
      </c>
      <c r="C40" s="69"/>
      <c r="D40" s="174">
        <f>'Step 2'!D48</f>
        <v>7000</v>
      </c>
      <c r="E40" s="299">
        <f t="shared" si="1"/>
        <v>1.4566642388929352E-2</v>
      </c>
      <c r="F40" s="300">
        <f>J8*E40</f>
        <v>0.98870056497175152</v>
      </c>
      <c r="G40" s="13"/>
    </row>
    <row r="41" spans="1:12" ht="18" customHeight="1">
      <c r="A41" s="68"/>
      <c r="B41" s="69" t="s">
        <v>154</v>
      </c>
      <c r="C41" s="69"/>
      <c r="D41" s="174">
        <f>'Step 2'!D49</f>
        <v>2000</v>
      </c>
      <c r="E41" s="299">
        <f t="shared" si="1"/>
        <v>4.1618978254083861E-3</v>
      </c>
      <c r="F41" s="300">
        <f>J8*E41</f>
        <v>0.2824858757062147</v>
      </c>
      <c r="G41" s="13"/>
      <c r="H41" s="334" t="s">
        <v>118</v>
      </c>
      <c r="I41" s="289"/>
    </row>
    <row r="42" spans="1:12" ht="18" customHeight="1">
      <c r="A42" s="68"/>
      <c r="B42" s="69" t="s">
        <v>39</v>
      </c>
      <c r="C42" s="69"/>
      <c r="D42" s="174">
        <f>'Step 2'!D50</f>
        <v>24000</v>
      </c>
      <c r="E42" s="299">
        <f t="shared" si="1"/>
        <v>4.9942773904900636E-2</v>
      </c>
      <c r="F42" s="300">
        <f>J8*E42</f>
        <v>3.3898305084745766</v>
      </c>
      <c r="G42" s="13"/>
      <c r="H42" s="13" t="s">
        <v>119</v>
      </c>
      <c r="I42" s="23"/>
      <c r="J42" s="335">
        <f>J7</f>
        <v>7080</v>
      </c>
    </row>
    <row r="43" spans="1:12" ht="18" customHeight="1">
      <c r="A43" s="68"/>
      <c r="B43" s="69" t="s">
        <v>40</v>
      </c>
      <c r="C43" s="69"/>
      <c r="D43" s="174">
        <f>'Step 2'!D51</f>
        <v>2000</v>
      </c>
      <c r="E43" s="299">
        <f t="shared" si="1"/>
        <v>4.1618978254083861E-3</v>
      </c>
      <c r="F43" s="300">
        <f>J8*E43</f>
        <v>0.2824858757062147</v>
      </c>
      <c r="G43" s="13"/>
      <c r="H43" s="13" t="s">
        <v>32</v>
      </c>
      <c r="I43" s="13"/>
      <c r="J43" s="336">
        <f>D7</f>
        <v>453707.14285714284</v>
      </c>
    </row>
    <row r="44" spans="1:12" ht="18" customHeight="1">
      <c r="A44" s="68"/>
      <c r="B44" s="69" t="s">
        <v>100</v>
      </c>
      <c r="C44" s="69"/>
      <c r="D44" s="174">
        <f>'Step 2'!D52</f>
        <v>8000</v>
      </c>
      <c r="E44" s="299">
        <f t="shared" si="1"/>
        <v>1.6647591301633544E-2</v>
      </c>
      <c r="F44" s="300">
        <f>J8*E44</f>
        <v>1.1299435028248588</v>
      </c>
      <c r="G44" s="13"/>
      <c r="H44" s="13" t="s">
        <v>120</v>
      </c>
      <c r="I44" s="13"/>
      <c r="J44" s="337">
        <f>J43/J42</f>
        <v>64.082929782082317</v>
      </c>
    </row>
    <row r="45" spans="1:12" ht="18" customHeight="1">
      <c r="A45" s="68"/>
      <c r="B45" s="69" t="s">
        <v>161</v>
      </c>
      <c r="C45" s="69"/>
      <c r="D45" s="174">
        <f>'Step 2'!D53</f>
        <v>500</v>
      </c>
      <c r="E45" s="299">
        <f t="shared" si="1"/>
        <v>1.0404744563520965E-3</v>
      </c>
      <c r="F45" s="300">
        <f>J8*E45</f>
        <v>7.0621468926553674E-2</v>
      </c>
      <c r="G45" s="13"/>
      <c r="H45" s="13" t="s">
        <v>92</v>
      </c>
      <c r="I45" s="13"/>
      <c r="J45" s="336">
        <f>J25</f>
        <v>172000</v>
      </c>
    </row>
    <row r="46" spans="1:12" ht="18" customHeight="1">
      <c r="A46" s="68"/>
      <c r="B46" s="69" t="s">
        <v>173</v>
      </c>
      <c r="C46" s="69"/>
      <c r="D46" s="174">
        <f>'Step 2'!D54</f>
        <v>500</v>
      </c>
      <c r="E46" s="299">
        <f t="shared" si="1"/>
        <v>1.0404744563520965E-3</v>
      </c>
      <c r="F46" s="300">
        <f>J8*E46</f>
        <v>7.0621468926553674E-2</v>
      </c>
      <c r="G46" s="13"/>
      <c r="H46" s="390" t="s">
        <v>93</v>
      </c>
      <c r="I46" s="391"/>
      <c r="J46" s="337">
        <f>J45/J42</f>
        <v>24.293785310734464</v>
      </c>
    </row>
    <row r="47" spans="1:12" ht="18" customHeight="1">
      <c r="A47" s="68"/>
      <c r="B47" s="144" t="s">
        <v>101</v>
      </c>
      <c r="C47" s="69"/>
      <c r="D47" s="174">
        <f>'Step 2'!D55</f>
        <v>2000</v>
      </c>
      <c r="E47" s="299">
        <f t="shared" si="1"/>
        <v>4.1618978254083861E-3</v>
      </c>
      <c r="F47" s="300">
        <f>J8*E47</f>
        <v>0.2824858757062147</v>
      </c>
      <c r="G47" s="13"/>
      <c r="H47" s="289" t="s">
        <v>121</v>
      </c>
      <c r="I47" s="13"/>
      <c r="J47" s="336">
        <f>D12</f>
        <v>106200</v>
      </c>
    </row>
    <row r="48" spans="1:12" ht="18" customHeight="1">
      <c r="A48" s="68"/>
      <c r="B48" s="148"/>
      <c r="C48" s="145"/>
      <c r="D48" s="174">
        <f>'Step 2'!D56</f>
        <v>0</v>
      </c>
      <c r="E48" s="299">
        <f t="shared" si="1"/>
        <v>0</v>
      </c>
      <c r="F48" s="300">
        <f>J8*E48</f>
        <v>0</v>
      </c>
      <c r="G48" s="13"/>
      <c r="H48" s="289" t="s">
        <v>43</v>
      </c>
      <c r="I48" s="13"/>
      <c r="J48" s="337">
        <f>J47/J42</f>
        <v>15</v>
      </c>
    </row>
    <row r="49" spans="1:12" ht="18" customHeight="1">
      <c r="A49" s="68"/>
      <c r="B49" s="148"/>
      <c r="C49" s="145"/>
      <c r="D49" s="174">
        <f>'Step 2'!D57</f>
        <v>0</v>
      </c>
      <c r="E49" s="299">
        <f t="shared" si="1"/>
        <v>0</v>
      </c>
      <c r="F49" s="300">
        <f>J8*E49</f>
        <v>0</v>
      </c>
      <c r="G49" s="13"/>
      <c r="H49" s="13" t="s">
        <v>36</v>
      </c>
      <c r="I49" s="13"/>
      <c r="J49" s="336">
        <f>J36</f>
        <v>78000</v>
      </c>
    </row>
    <row r="50" spans="1:12" ht="18" customHeight="1">
      <c r="A50" s="68"/>
      <c r="B50" s="148"/>
      <c r="C50" s="145"/>
      <c r="D50" s="174">
        <f>'Step 2'!D58</f>
        <v>0</v>
      </c>
      <c r="E50" s="299">
        <f t="shared" si="1"/>
        <v>0</v>
      </c>
      <c r="F50" s="300">
        <f>J8*E50</f>
        <v>0</v>
      </c>
      <c r="G50" s="13"/>
      <c r="H50" s="13" t="s">
        <v>112</v>
      </c>
      <c r="I50" s="13"/>
      <c r="J50" s="337">
        <f>J49/J42</f>
        <v>11.016949152542374</v>
      </c>
    </row>
    <row r="51" spans="1:12" ht="18" customHeight="1" thickBot="1">
      <c r="A51" s="81"/>
      <c r="B51" s="82"/>
      <c r="C51" s="82"/>
      <c r="D51" s="224">
        <f>'Step 2'!D59</f>
        <v>0</v>
      </c>
      <c r="E51" s="315">
        <f t="shared" si="1"/>
        <v>0</v>
      </c>
      <c r="F51" s="316">
        <f>J8*E51</f>
        <v>0</v>
      </c>
      <c r="G51" s="13"/>
      <c r="H51" s="13"/>
      <c r="I51" s="13"/>
    </row>
    <row r="52" spans="1:12" ht="18" customHeight="1" thickTop="1">
      <c r="A52" s="86"/>
      <c r="B52" s="294" t="s">
        <v>102</v>
      </c>
      <c r="C52" s="294"/>
      <c r="D52" s="87">
        <f>SUM(D22:D51)</f>
        <v>157550</v>
      </c>
      <c r="E52" s="338">
        <f t="shared" si="1"/>
        <v>0.3278535011965456</v>
      </c>
      <c r="F52" s="339">
        <f>J8*E52</f>
        <v>22.252824858757062</v>
      </c>
      <c r="G52" s="13"/>
      <c r="H52" s="13"/>
      <c r="I52" s="13"/>
    </row>
    <row r="53" spans="1:12" ht="18" customHeight="1">
      <c r="A53" s="96"/>
      <c r="B53" s="115"/>
      <c r="C53" s="96"/>
      <c r="D53" s="65"/>
      <c r="E53" s="16"/>
      <c r="F53" s="7"/>
      <c r="G53" s="13"/>
      <c r="H53" s="13"/>
      <c r="I53" s="13"/>
    </row>
    <row r="54" spans="1:12" ht="18" customHeight="1">
      <c r="A54" s="96"/>
      <c r="G54" s="13"/>
      <c r="H54" s="115" t="s">
        <v>117</v>
      </c>
      <c r="I54" s="96"/>
      <c r="J54" s="132">
        <f>D52+D18</f>
        <v>480550</v>
      </c>
      <c r="K54" s="340">
        <f>J54/$J$54</f>
        <v>1</v>
      </c>
      <c r="L54" s="320">
        <f>J8*K54</f>
        <v>67.874293785310741</v>
      </c>
    </row>
    <row r="55" spans="1:12" ht="18" customHeight="1">
      <c r="A55" s="96"/>
      <c r="G55" s="13"/>
      <c r="H55" s="115"/>
      <c r="I55" s="96"/>
      <c r="J55" s="141"/>
      <c r="K55" s="9"/>
      <c r="L55" s="196"/>
    </row>
    <row r="56" spans="1:12" ht="18" customHeight="1">
      <c r="A56" s="96"/>
      <c r="G56" s="13"/>
      <c r="H56" s="115" t="s">
        <v>174</v>
      </c>
      <c r="I56" s="115"/>
      <c r="J56" s="341">
        <f>(D7-J54)</f>
        <v>-26842.857142857159</v>
      </c>
      <c r="K56" s="116"/>
      <c r="L56" s="20"/>
    </row>
    <row r="57" spans="1:12" ht="15" customHeight="1">
      <c r="A57" s="13"/>
      <c r="B57" s="13"/>
      <c r="C57" s="13"/>
      <c r="D57" s="13"/>
      <c r="E57" s="20"/>
      <c r="F57" s="196"/>
      <c r="G57" s="13"/>
      <c r="H57" s="96"/>
    </row>
    <row r="58" spans="1:12" ht="15" customHeight="1"/>
  </sheetData>
  <mergeCells count="4">
    <mergeCell ref="H46:I46"/>
    <mergeCell ref="A2:C2"/>
    <mergeCell ref="H12:I12"/>
    <mergeCell ref="H6:I6"/>
  </mergeCells>
  <phoneticPr fontId="2" type="noConversion"/>
  <dataValidations count="2">
    <dataValidation type="decimal" allowBlank="1" showInputMessage="1" showErrorMessage="1" error="Please enter an amount between -10,000,000 and 10,000,000." sqref="K54:K56 D20:D51 E20:E52 D5:E6 D53 D2:E3 D9:E19 D58:E65492">
      <formula1>-10000000</formula1>
      <formula2>10000000</formula2>
    </dataValidation>
    <dataValidation allowBlank="1" showInputMessage="1" showErrorMessage="1" error="Please enter an amount between -10,000,000 and 10,000,000." sqref="F5:G6 J54:J56 D52 D7 G9:G27 G29:G30 L54:L55 F9:F52 F58:G65503"/>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N81"/>
  <sheetViews>
    <sheetView showGridLines="0" view="pageLayout"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5" style="2" customWidth="1"/>
    <col min="10" max="10" width="9.42578125" style="7" customWidth="1"/>
    <col min="11" max="16384" width="8" style="2"/>
  </cols>
  <sheetData>
    <row r="1" spans="1:11" ht="23">
      <c r="A1" s="1" t="s">
        <v>170</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3" t="str">
        <f>'Step 1'!C4:E4</f>
        <v>Aimee</v>
      </c>
      <c r="D4" s="61"/>
      <c r="E4" s="62"/>
      <c r="F4" s="61"/>
      <c r="G4" s="62"/>
      <c r="H4" s="4"/>
      <c r="I4" s="4"/>
    </row>
    <row r="5" spans="1:11" ht="15.75" customHeight="1">
      <c r="A5" s="59" t="s">
        <v>158</v>
      </c>
      <c r="B5" s="59"/>
      <c r="C5" s="64"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520500</v>
      </c>
      <c r="E10" s="71"/>
      <c r="F10" s="72"/>
      <c r="G10" s="9"/>
      <c r="H10" s="73"/>
      <c r="I10" s="74" t="s">
        <v>106</v>
      </c>
      <c r="J10" s="75">
        <f>'Step 1'!G45</f>
        <v>61.964285714285715</v>
      </c>
    </row>
    <row r="11" spans="1:11" ht="15" customHeight="1" thickBot="1">
      <c r="A11" s="68"/>
      <c r="B11" s="69" t="s">
        <v>53</v>
      </c>
      <c r="C11" s="69"/>
      <c r="D11" s="76">
        <v>15000</v>
      </c>
      <c r="E11" s="71"/>
      <c r="F11" s="72"/>
      <c r="G11" s="9"/>
      <c r="H11" s="73"/>
      <c r="I11" s="74" t="s">
        <v>178</v>
      </c>
      <c r="J11" s="77">
        <v>15</v>
      </c>
    </row>
    <row r="12" spans="1:11" ht="15" customHeight="1">
      <c r="A12" s="68"/>
      <c r="B12" s="69" t="s">
        <v>222</v>
      </c>
      <c r="C12" s="69"/>
      <c r="D12" s="76"/>
      <c r="E12" s="71"/>
      <c r="F12" s="78"/>
      <c r="G12" s="10"/>
      <c r="H12" s="73"/>
      <c r="I12" s="79" t="s">
        <v>69</v>
      </c>
      <c r="J12" s="80">
        <f>'Step 1'!D10</f>
        <v>48</v>
      </c>
    </row>
    <row r="13" spans="1:11" ht="15" customHeight="1" thickBot="1">
      <c r="A13" s="81"/>
      <c r="B13" s="82" t="s">
        <v>132</v>
      </c>
      <c r="C13" s="82"/>
      <c r="D13" s="83"/>
      <c r="E13" s="71"/>
      <c r="F13" s="65"/>
      <c r="G13" s="9"/>
      <c r="H13" s="73"/>
      <c r="I13" s="84" t="s">
        <v>203</v>
      </c>
      <c r="J13" s="85">
        <f>'Step 1'!D11</f>
        <v>5</v>
      </c>
    </row>
    <row r="14" spans="1:11" ht="15" customHeight="1" thickTop="1" thickBot="1">
      <c r="A14" s="86"/>
      <c r="B14" s="373" t="s">
        <v>50</v>
      </c>
      <c r="C14" s="382"/>
      <c r="D14" s="87">
        <f>SUM(D10:D13)</f>
        <v>535500</v>
      </c>
      <c r="E14" s="71"/>
      <c r="F14" s="88"/>
      <c r="G14" s="9"/>
      <c r="H14" s="73"/>
      <c r="I14" s="89" t="s">
        <v>171</v>
      </c>
      <c r="J14" s="90">
        <f>'Step 1'!D12</f>
        <v>35</v>
      </c>
    </row>
    <row r="15" spans="1:11" ht="15" customHeight="1" thickTop="1" thickBot="1">
      <c r="A15" s="91" t="s">
        <v>3</v>
      </c>
      <c r="B15" s="91"/>
      <c r="C15" s="91"/>
      <c r="D15" s="91"/>
      <c r="E15" s="91"/>
      <c r="F15" s="92"/>
      <c r="G15" s="9"/>
      <c r="H15" s="93"/>
      <c r="I15" s="94" t="s">
        <v>55</v>
      </c>
      <c r="J15" s="95">
        <f>'Step 1'!D13</f>
        <v>8400</v>
      </c>
    </row>
    <row r="16" spans="1:11" ht="15" customHeight="1">
      <c r="A16" s="96"/>
      <c r="B16" s="96"/>
      <c r="C16" s="96"/>
      <c r="D16" s="78"/>
      <c r="E16" s="10"/>
      <c r="F16" s="88"/>
      <c r="G16" s="9"/>
      <c r="J16" s="97"/>
    </row>
    <row r="17" spans="1:14" ht="15" customHeight="1">
      <c r="A17" s="375" t="s">
        <v>115</v>
      </c>
      <c r="B17" s="376"/>
      <c r="C17" s="376"/>
      <c r="D17" s="98"/>
      <c r="E17" s="99"/>
      <c r="F17" s="88"/>
      <c r="G17" s="9"/>
    </row>
    <row r="18" spans="1:14" ht="15" customHeight="1" thickBot="1">
      <c r="A18" s="68"/>
      <c r="B18" s="69" t="s">
        <v>116</v>
      </c>
      <c r="C18" s="69"/>
      <c r="D18" s="76">
        <v>3000</v>
      </c>
      <c r="E18" s="100">
        <f t="shared" ref="E18:E25" si="0">D18/$J$46</f>
        <v>5.9958029379434397E-3</v>
      </c>
      <c r="F18" s="88"/>
      <c r="G18" s="9"/>
      <c r="H18" s="375" t="s">
        <v>76</v>
      </c>
      <c r="I18" s="381"/>
      <c r="J18" s="67"/>
    </row>
    <row r="19" spans="1:14" ht="15" customHeight="1">
      <c r="A19" s="68"/>
      <c r="B19" s="69" t="s">
        <v>198</v>
      </c>
      <c r="C19" s="69"/>
      <c r="D19" s="70">
        <f>J11*J15</f>
        <v>126000</v>
      </c>
      <c r="E19" s="100">
        <f t="shared" si="0"/>
        <v>0.25182372339362447</v>
      </c>
      <c r="F19" s="88"/>
      <c r="G19" s="9"/>
      <c r="H19" s="73"/>
      <c r="I19" s="101" t="s">
        <v>133</v>
      </c>
      <c r="J19" s="102">
        <v>1</v>
      </c>
    </row>
    <row r="20" spans="1:14" ht="15" customHeight="1" thickBot="1">
      <c r="A20" s="68"/>
      <c r="B20" s="69" t="s">
        <v>44</v>
      </c>
      <c r="C20" s="69"/>
      <c r="D20" s="76">
        <v>3000</v>
      </c>
      <c r="E20" s="100">
        <f t="shared" si="0"/>
        <v>5.9958029379434397E-3</v>
      </c>
      <c r="F20" s="72"/>
      <c r="G20" s="9"/>
      <c r="H20" s="73"/>
      <c r="I20" s="103" t="s">
        <v>134</v>
      </c>
      <c r="J20" s="104">
        <v>78000</v>
      </c>
    </row>
    <row r="21" spans="1:14" ht="15" customHeight="1" thickTop="1" thickBot="1">
      <c r="A21" s="68"/>
      <c r="B21" s="69" t="s">
        <v>56</v>
      </c>
      <c r="C21" s="69"/>
      <c r="D21" s="70">
        <f>J31</f>
        <v>172000</v>
      </c>
      <c r="E21" s="100">
        <f t="shared" si="0"/>
        <v>0.34375936844209054</v>
      </c>
      <c r="F21" s="72"/>
      <c r="G21" s="9"/>
      <c r="H21" s="73"/>
      <c r="I21" s="94" t="s">
        <v>135</v>
      </c>
      <c r="J21" s="105">
        <f>J19*J20</f>
        <v>78000</v>
      </c>
    </row>
    <row r="22" spans="1:14" ht="15" customHeight="1">
      <c r="A22" s="68"/>
      <c r="B22" s="69" t="s">
        <v>155</v>
      </c>
      <c r="C22" s="69"/>
      <c r="D22" s="76"/>
      <c r="E22" s="100">
        <f t="shared" si="0"/>
        <v>0</v>
      </c>
      <c r="F22" s="72"/>
      <c r="G22" s="9"/>
      <c r="H22" s="73"/>
      <c r="I22" s="106" t="s">
        <v>107</v>
      </c>
      <c r="J22" s="102">
        <v>1</v>
      </c>
    </row>
    <row r="23" spans="1:14" ht="15" customHeight="1" thickBot="1">
      <c r="A23" s="68"/>
      <c r="B23" s="69" t="s">
        <v>105</v>
      </c>
      <c r="C23" s="69"/>
      <c r="D23" s="70">
        <f>D21*15%</f>
        <v>25800</v>
      </c>
      <c r="E23" s="100">
        <f t="shared" si="0"/>
        <v>5.1563905266313582E-2</v>
      </c>
      <c r="F23" s="107"/>
      <c r="G23" s="9"/>
      <c r="H23" s="73"/>
      <c r="I23" s="103" t="s">
        <v>113</v>
      </c>
      <c r="J23" s="104">
        <v>32000</v>
      </c>
    </row>
    <row r="24" spans="1:14" ht="15" customHeight="1" thickTop="1" thickBot="1">
      <c r="A24" s="81"/>
      <c r="B24" s="82" t="s">
        <v>179</v>
      </c>
      <c r="C24" s="82"/>
      <c r="D24" s="108">
        <f>(J19+J22+J28+J25)*2600</f>
        <v>13000</v>
      </c>
      <c r="E24" s="109">
        <f t="shared" si="0"/>
        <v>2.5981812731088239E-2</v>
      </c>
      <c r="F24" s="65"/>
      <c r="H24" s="73"/>
      <c r="I24" s="94" t="s">
        <v>114</v>
      </c>
      <c r="J24" s="105">
        <f>J22*J23</f>
        <v>32000</v>
      </c>
    </row>
    <row r="25" spans="1:14" ht="15" customHeight="1" thickTop="1">
      <c r="A25" s="68"/>
      <c r="B25" s="370" t="s">
        <v>45</v>
      </c>
      <c r="C25" s="371"/>
      <c r="D25" s="87">
        <f>SUM(D18:D24)</f>
        <v>342800</v>
      </c>
      <c r="E25" s="111">
        <f t="shared" si="0"/>
        <v>0.68512041570900373</v>
      </c>
      <c r="F25" s="107"/>
      <c r="G25" s="9"/>
      <c r="H25" s="73"/>
      <c r="I25" s="112" t="s">
        <v>136</v>
      </c>
      <c r="J25" s="102">
        <v>2</v>
      </c>
    </row>
    <row r="26" spans="1:14" ht="15" customHeight="1" thickTop="1" thickBot="1">
      <c r="A26" s="86"/>
      <c r="B26" s="372" t="s">
        <v>61</v>
      </c>
      <c r="C26" s="346"/>
      <c r="D26" s="113">
        <f>(D14-D25)</f>
        <v>192700</v>
      </c>
      <c r="E26" s="114"/>
      <c r="F26" s="65"/>
      <c r="H26" s="73"/>
      <c r="I26" s="103" t="s">
        <v>137</v>
      </c>
      <c r="J26" s="104">
        <v>22000</v>
      </c>
    </row>
    <row r="27" spans="1:14" ht="15" customHeight="1" thickTop="1" thickBot="1">
      <c r="A27" s="96"/>
      <c r="C27" s="115"/>
      <c r="D27" s="107"/>
      <c r="E27" s="116"/>
      <c r="F27" s="65"/>
      <c r="G27" s="9"/>
      <c r="H27" s="73"/>
      <c r="I27" s="94" t="s">
        <v>138</v>
      </c>
      <c r="J27" s="105">
        <f>J25*J26</f>
        <v>44000</v>
      </c>
    </row>
    <row r="28" spans="1:14" ht="15" customHeight="1">
      <c r="A28" s="96"/>
      <c r="B28" s="96"/>
      <c r="C28" s="96"/>
      <c r="D28" s="65"/>
      <c r="E28" s="9"/>
      <c r="F28" s="88"/>
      <c r="G28" s="9"/>
      <c r="H28" s="73"/>
      <c r="I28" s="112" t="s">
        <v>2</v>
      </c>
      <c r="J28" s="102">
        <v>1</v>
      </c>
      <c r="K28" s="342" t="s">
        <v>234</v>
      </c>
      <c r="L28" s="343"/>
      <c r="M28" s="343"/>
      <c r="N28" s="343"/>
    </row>
    <row r="29" spans="1:14" ht="15" customHeight="1" thickBot="1">
      <c r="A29" s="375" t="s">
        <v>46</v>
      </c>
      <c r="B29" s="376"/>
      <c r="C29" s="376"/>
      <c r="D29" s="98"/>
      <c r="E29" s="99"/>
      <c r="F29" s="88"/>
      <c r="G29" s="9"/>
      <c r="H29" s="73"/>
      <c r="I29" s="103" t="s">
        <v>60</v>
      </c>
      <c r="J29" s="104">
        <v>18000</v>
      </c>
      <c r="K29" s="368" t="s">
        <v>8</v>
      </c>
      <c r="L29" s="369"/>
      <c r="M29" s="369"/>
    </row>
    <row r="30" spans="1:14" ht="15" customHeight="1" thickTop="1" thickBot="1">
      <c r="A30" s="68"/>
      <c r="B30" s="69" t="s">
        <v>189</v>
      </c>
      <c r="C30" s="69"/>
      <c r="D30" s="70">
        <f>J42</f>
        <v>78000</v>
      </c>
      <c r="E30" s="100">
        <f>D30/J46</f>
        <v>0.15589087638652943</v>
      </c>
      <c r="F30" s="88"/>
      <c r="G30" s="9"/>
      <c r="H30" s="73"/>
      <c r="I30" s="94" t="s">
        <v>210</v>
      </c>
      <c r="J30" s="117">
        <f>J28*J29</f>
        <v>18000</v>
      </c>
    </row>
    <row r="31" spans="1:14" ht="15" customHeight="1" thickBot="1">
      <c r="A31" s="68"/>
      <c r="B31" s="69" t="s">
        <v>105</v>
      </c>
      <c r="C31" s="69"/>
      <c r="D31" s="70">
        <f>D30*15%</f>
        <v>11700</v>
      </c>
      <c r="E31" s="100">
        <f t="shared" ref="E31:E60" si="1">D31/$J$46</f>
        <v>2.3383631457979413E-2</v>
      </c>
      <c r="F31" s="88"/>
      <c r="G31" s="9"/>
      <c r="H31" s="118"/>
      <c r="I31" s="119" t="s">
        <v>77</v>
      </c>
      <c r="J31" s="120">
        <f>J21+J24+J27+J30</f>
        <v>172000</v>
      </c>
    </row>
    <row r="32" spans="1:14" ht="15" customHeight="1" thickBot="1">
      <c r="A32" s="68"/>
      <c r="B32" s="69" t="s">
        <v>33</v>
      </c>
      <c r="C32" s="69"/>
      <c r="D32" s="70">
        <f>(J33+J39+J36)*2600</f>
        <v>6500</v>
      </c>
      <c r="E32" s="100">
        <f t="shared" si="1"/>
        <v>1.2990906365544119E-2</v>
      </c>
      <c r="F32" s="88"/>
      <c r="G32" s="9"/>
      <c r="H32" s="121" t="s">
        <v>78</v>
      </c>
      <c r="I32" s="121"/>
      <c r="J32" s="122"/>
    </row>
    <row r="33" spans="1:11" ht="15" customHeight="1">
      <c r="A33" s="68"/>
      <c r="B33" s="69" t="s">
        <v>13</v>
      </c>
      <c r="C33" s="69"/>
      <c r="D33" s="76">
        <v>2000</v>
      </c>
      <c r="E33" s="100">
        <f t="shared" si="1"/>
        <v>3.9972019586289598E-3</v>
      </c>
      <c r="F33" s="88"/>
      <c r="G33" s="9"/>
      <c r="H33" s="73"/>
      <c r="I33" s="101" t="s">
        <v>208</v>
      </c>
      <c r="J33" s="102">
        <v>0</v>
      </c>
    </row>
    <row r="34" spans="1:11" ht="15" customHeight="1" thickBot="1">
      <c r="A34" s="68"/>
      <c r="B34" s="69" t="s">
        <v>67</v>
      </c>
      <c r="C34" s="69"/>
      <c r="D34" s="76">
        <v>0</v>
      </c>
      <c r="E34" s="100">
        <f t="shared" si="1"/>
        <v>0</v>
      </c>
      <c r="F34" s="88"/>
      <c r="G34" s="9"/>
      <c r="H34" s="73"/>
      <c r="I34" s="103" t="s">
        <v>209</v>
      </c>
      <c r="J34" s="104">
        <v>0</v>
      </c>
    </row>
    <row r="35" spans="1:11" ht="15" customHeight="1" thickTop="1" thickBot="1">
      <c r="A35" s="68"/>
      <c r="B35" s="69" t="s">
        <v>47</v>
      </c>
      <c r="C35" s="69"/>
      <c r="D35" s="76">
        <v>500</v>
      </c>
      <c r="E35" s="100">
        <f t="shared" si="1"/>
        <v>9.9930048965723994E-4</v>
      </c>
      <c r="F35" s="88"/>
      <c r="G35" s="9"/>
      <c r="H35" s="73"/>
      <c r="I35" s="94" t="s">
        <v>58</v>
      </c>
      <c r="J35" s="105">
        <f>J33*J34</f>
        <v>0</v>
      </c>
    </row>
    <row r="36" spans="1:11" ht="15" customHeight="1">
      <c r="A36" s="68"/>
      <c r="B36" s="69" t="s">
        <v>197</v>
      </c>
      <c r="C36" s="69"/>
      <c r="D36" s="76">
        <v>2500</v>
      </c>
      <c r="E36" s="100">
        <f t="shared" si="1"/>
        <v>4.9965024482861997E-3</v>
      </c>
      <c r="F36" s="88"/>
      <c r="G36" s="9"/>
      <c r="H36" s="73"/>
      <c r="I36" s="112" t="s">
        <v>97</v>
      </c>
      <c r="J36" s="102">
        <v>1</v>
      </c>
    </row>
    <row r="37" spans="1:11" ht="15" customHeight="1" thickBot="1">
      <c r="A37" s="68"/>
      <c r="B37" s="69" t="s">
        <v>109</v>
      </c>
      <c r="C37" s="69"/>
      <c r="D37" s="76">
        <v>0</v>
      </c>
      <c r="E37" s="100">
        <f t="shared" si="1"/>
        <v>0</v>
      </c>
      <c r="F37" s="88"/>
      <c r="G37" s="9"/>
      <c r="H37" s="73"/>
      <c r="I37" s="103" t="s">
        <v>98</v>
      </c>
      <c r="J37" s="104">
        <v>45000</v>
      </c>
    </row>
    <row r="38" spans="1:11" ht="15" customHeight="1" thickTop="1" thickBot="1">
      <c r="A38" s="68"/>
      <c r="B38" s="69" t="s">
        <v>110</v>
      </c>
      <c r="C38" s="69"/>
      <c r="D38" s="76">
        <v>100</v>
      </c>
      <c r="E38" s="100">
        <f t="shared" si="1"/>
        <v>1.99860097931448E-4</v>
      </c>
      <c r="F38" s="88"/>
      <c r="G38" s="9"/>
      <c r="H38" s="73"/>
      <c r="I38" s="94" t="s">
        <v>99</v>
      </c>
      <c r="J38" s="123">
        <f>J36*J37</f>
        <v>45000</v>
      </c>
    </row>
    <row r="39" spans="1:11" ht="15" customHeight="1">
      <c r="A39" s="68"/>
      <c r="B39" s="69" t="s">
        <v>111</v>
      </c>
      <c r="C39" s="69"/>
      <c r="D39" s="76">
        <v>750</v>
      </c>
      <c r="E39" s="100">
        <f t="shared" si="1"/>
        <v>1.4989507344858599E-3</v>
      </c>
      <c r="F39" s="88"/>
      <c r="G39" s="9"/>
      <c r="H39" s="73"/>
      <c r="I39" s="112" t="s">
        <v>34</v>
      </c>
      <c r="J39" s="102">
        <v>1.5</v>
      </c>
    </row>
    <row r="40" spans="1:11" ht="15" customHeight="1" thickBot="1">
      <c r="A40" s="68"/>
      <c r="B40" s="69" t="s">
        <v>108</v>
      </c>
      <c r="C40" s="69"/>
      <c r="D40" s="76">
        <v>1000</v>
      </c>
      <c r="E40" s="100">
        <f t="shared" si="1"/>
        <v>1.9986009793144799E-3</v>
      </c>
      <c r="F40" s="88"/>
      <c r="G40" s="9"/>
      <c r="H40" s="73"/>
      <c r="I40" s="103" t="s">
        <v>35</v>
      </c>
      <c r="J40" s="104">
        <v>22000</v>
      </c>
    </row>
    <row r="41" spans="1:11" ht="15" customHeight="1" thickTop="1" thickBot="1">
      <c r="A41" s="68"/>
      <c r="B41" s="69" t="s">
        <v>159</v>
      </c>
      <c r="C41" s="69"/>
      <c r="D41" s="76">
        <v>0</v>
      </c>
      <c r="E41" s="100">
        <f t="shared" si="1"/>
        <v>0</v>
      </c>
      <c r="F41" s="88"/>
      <c r="G41" s="9"/>
      <c r="H41" s="73"/>
      <c r="I41" s="124" t="s">
        <v>172</v>
      </c>
      <c r="J41" s="123">
        <f>J39*J40</f>
        <v>33000</v>
      </c>
    </row>
    <row r="42" spans="1:11" ht="15" customHeight="1" thickBot="1">
      <c r="A42" s="68"/>
      <c r="B42" s="69" t="s">
        <v>223</v>
      </c>
      <c r="C42" s="69"/>
      <c r="D42" s="76">
        <v>2000</v>
      </c>
      <c r="E42" s="100">
        <f t="shared" si="1"/>
        <v>3.9972019586289598E-3</v>
      </c>
      <c r="F42" s="74"/>
      <c r="G42" s="9"/>
      <c r="H42" s="68"/>
      <c r="I42" s="125" t="s">
        <v>79</v>
      </c>
      <c r="J42" s="126">
        <f>J35+J38+J41</f>
        <v>78000</v>
      </c>
    </row>
    <row r="43" spans="1:11" ht="15" customHeight="1" thickBot="1">
      <c r="A43" s="68"/>
      <c r="B43" s="69" t="s">
        <v>81</v>
      </c>
      <c r="C43" s="69"/>
      <c r="D43" s="76">
        <v>1500</v>
      </c>
      <c r="E43" s="100">
        <f t="shared" si="1"/>
        <v>2.9979014689717198E-3</v>
      </c>
      <c r="F43" s="69"/>
      <c r="G43" s="127"/>
      <c r="H43" s="93"/>
      <c r="I43" s="128" t="s">
        <v>80</v>
      </c>
      <c r="J43" s="129">
        <f>J31+J42</f>
        <v>250000</v>
      </c>
    </row>
    <row r="44" spans="1:11" ht="15" customHeight="1">
      <c r="A44" s="68"/>
      <c r="B44" s="69" t="s">
        <v>90</v>
      </c>
      <c r="C44" s="69"/>
      <c r="D44" s="76">
        <v>500</v>
      </c>
      <c r="E44" s="100">
        <f t="shared" si="1"/>
        <v>9.9930048965723994E-4</v>
      </c>
      <c r="F44" s="88"/>
      <c r="G44" s="130"/>
    </row>
    <row r="45" spans="1:11" ht="15" customHeight="1">
      <c r="A45" s="68"/>
      <c r="B45" s="69" t="s">
        <v>25</v>
      </c>
      <c r="C45" s="69"/>
      <c r="D45" s="76">
        <v>2000</v>
      </c>
      <c r="E45" s="100">
        <f t="shared" si="1"/>
        <v>3.9972019586289598E-3</v>
      </c>
      <c r="F45" s="88"/>
    </row>
    <row r="46" spans="1:11" ht="15" customHeight="1">
      <c r="A46" s="68"/>
      <c r="B46" s="69" t="s">
        <v>26</v>
      </c>
      <c r="C46" s="69"/>
      <c r="D46" s="76">
        <v>500</v>
      </c>
      <c r="E46" s="100">
        <f t="shared" si="1"/>
        <v>9.9930048965723994E-4</v>
      </c>
      <c r="F46" s="88"/>
      <c r="I46" s="131" t="s">
        <v>117</v>
      </c>
      <c r="J46" s="132">
        <f>D60+D25</f>
        <v>500350</v>
      </c>
      <c r="K46" s="133">
        <f>E60+E25</f>
        <v>1</v>
      </c>
    </row>
    <row r="47" spans="1:11" ht="15" customHeight="1">
      <c r="A47" s="68"/>
      <c r="B47" s="134" t="s">
        <v>224</v>
      </c>
      <c r="C47" s="134"/>
      <c r="D47" s="76">
        <v>2000</v>
      </c>
      <c r="E47" s="100">
        <f t="shared" si="1"/>
        <v>3.9972019586289598E-3</v>
      </c>
      <c r="F47" s="88"/>
    </row>
    <row r="48" spans="1:11" ht="15" customHeight="1">
      <c r="A48" s="68"/>
      <c r="B48" s="134" t="s">
        <v>0</v>
      </c>
      <c r="C48" s="134"/>
      <c r="D48" s="76">
        <v>7000</v>
      </c>
      <c r="E48" s="100">
        <f t="shared" si="1"/>
        <v>1.3990206855201359E-2</v>
      </c>
      <c r="F48" s="88"/>
      <c r="I48" s="135" t="s">
        <v>174</v>
      </c>
      <c r="J48" s="136">
        <f>(D26-D60)</f>
        <v>35150</v>
      </c>
    </row>
    <row r="49" spans="1:13" ht="15" customHeight="1">
      <c r="A49" s="68"/>
      <c r="B49" s="69" t="s">
        <v>154</v>
      </c>
      <c r="C49" s="69"/>
      <c r="D49" s="76">
        <v>2000</v>
      </c>
      <c r="E49" s="100">
        <f t="shared" si="1"/>
        <v>3.9972019586289598E-3</v>
      </c>
      <c r="F49" s="88"/>
      <c r="K49" s="137"/>
      <c r="L49" s="138"/>
      <c r="M49" s="10"/>
    </row>
    <row r="50" spans="1:13" ht="15" customHeight="1">
      <c r="A50" s="68"/>
      <c r="B50" s="69" t="s">
        <v>66</v>
      </c>
      <c r="C50" s="69"/>
      <c r="D50" s="76">
        <v>24000</v>
      </c>
      <c r="E50" s="100">
        <f t="shared" si="1"/>
        <v>4.7966423503547517E-2</v>
      </c>
      <c r="F50" s="88"/>
      <c r="H50" s="9"/>
      <c r="L50" s="139"/>
      <c r="M50" s="110"/>
    </row>
    <row r="51" spans="1:13" ht="15" customHeight="1">
      <c r="A51" s="68"/>
      <c r="B51" s="69" t="s">
        <v>40</v>
      </c>
      <c r="C51" s="69"/>
      <c r="D51" s="76">
        <v>2000</v>
      </c>
      <c r="E51" s="100">
        <f t="shared" si="1"/>
        <v>3.9972019586289598E-3</v>
      </c>
      <c r="F51" s="88"/>
      <c r="H51" s="377" t="s">
        <v>235</v>
      </c>
      <c r="I51" s="356"/>
      <c r="J51" s="356"/>
      <c r="L51" s="138"/>
      <c r="M51" s="10"/>
    </row>
    <row r="52" spans="1:13" ht="15" customHeight="1">
      <c r="A52" s="68"/>
      <c r="B52" s="69" t="s">
        <v>100</v>
      </c>
      <c r="C52" s="69"/>
      <c r="D52" s="76">
        <v>8000</v>
      </c>
      <c r="E52" s="100">
        <f t="shared" si="1"/>
        <v>1.5988807834515839E-2</v>
      </c>
      <c r="F52" s="88"/>
      <c r="H52" s="356"/>
      <c r="I52" s="356"/>
      <c r="J52" s="356"/>
      <c r="L52" s="140"/>
      <c r="M52" s="10"/>
    </row>
    <row r="53" spans="1:13" ht="15" customHeight="1">
      <c r="A53" s="68"/>
      <c r="B53" s="69" t="s">
        <v>161</v>
      </c>
      <c r="C53" s="69"/>
      <c r="D53" s="76">
        <v>500</v>
      </c>
      <c r="E53" s="100">
        <f t="shared" si="1"/>
        <v>9.9930048965723994E-4</v>
      </c>
      <c r="F53" s="88"/>
      <c r="H53" s="356"/>
      <c r="I53" s="356"/>
      <c r="J53" s="356"/>
      <c r="L53" s="140"/>
    </row>
    <row r="54" spans="1:13" ht="15" customHeight="1">
      <c r="A54" s="68"/>
      <c r="B54" s="69" t="s">
        <v>173</v>
      </c>
      <c r="C54" s="69"/>
      <c r="D54" s="76">
        <v>500</v>
      </c>
      <c r="E54" s="100">
        <f t="shared" si="1"/>
        <v>9.9930048965723994E-4</v>
      </c>
      <c r="F54" s="88"/>
      <c r="H54" s="3"/>
      <c r="I54" s="3"/>
      <c r="J54" s="3"/>
      <c r="L54" s="141"/>
      <c r="M54" s="10"/>
    </row>
    <row r="55" spans="1:13" ht="15" customHeight="1">
      <c r="A55" s="68"/>
      <c r="B55" s="134" t="s">
        <v>1</v>
      </c>
      <c r="C55" s="134"/>
      <c r="D55" s="76">
        <v>2000</v>
      </c>
      <c r="E55" s="100">
        <f t="shared" si="1"/>
        <v>3.9972019586289598E-3</v>
      </c>
      <c r="F55" s="88"/>
      <c r="G55" s="9"/>
      <c r="H55" s="142"/>
      <c r="I55" s="142"/>
      <c r="J55" s="143"/>
      <c r="L55" s="141"/>
    </row>
    <row r="56" spans="1:13" ht="15" customHeight="1">
      <c r="A56" s="68"/>
      <c r="B56" s="144"/>
      <c r="C56" s="145"/>
      <c r="D56" s="76"/>
      <c r="E56" s="100">
        <f t="shared" si="1"/>
        <v>0</v>
      </c>
      <c r="F56" s="88"/>
      <c r="G56" s="9"/>
      <c r="H56" s="142"/>
      <c r="I56" s="127" t="s">
        <v>196</v>
      </c>
      <c r="J56" s="146">
        <f>J46*5%</f>
        <v>25017.5</v>
      </c>
      <c r="L56" s="147"/>
      <c r="M56" s="110"/>
    </row>
    <row r="57" spans="1:13" ht="15" customHeight="1">
      <c r="A57" s="68"/>
      <c r="B57" s="148"/>
      <c r="C57" s="145"/>
      <c r="D57" s="76"/>
      <c r="E57" s="100">
        <f t="shared" si="1"/>
        <v>0</v>
      </c>
      <c r="F57" s="72"/>
      <c r="H57" s="149"/>
      <c r="I57" s="69"/>
      <c r="J57" s="141"/>
      <c r="L57" s="150"/>
    </row>
    <row r="58" spans="1:13" ht="15" customHeight="1">
      <c r="A58" s="68"/>
      <c r="B58" s="148"/>
      <c r="C58" s="145"/>
      <c r="D58" s="76"/>
      <c r="E58" s="100">
        <f t="shared" si="1"/>
        <v>0</v>
      </c>
      <c r="F58" s="151"/>
      <c r="H58" s="378" t="s">
        <v>64</v>
      </c>
      <c r="I58" s="379"/>
      <c r="J58" s="3"/>
      <c r="L58" s="150"/>
    </row>
    <row r="59" spans="1:13" ht="15" customHeight="1" thickBot="1">
      <c r="A59" s="81"/>
      <c r="B59" s="82"/>
      <c r="C59" s="82"/>
      <c r="D59" s="83"/>
      <c r="E59" s="109">
        <f t="shared" si="1"/>
        <v>0</v>
      </c>
      <c r="F59" s="65"/>
      <c r="H59" s="379"/>
      <c r="I59" s="379"/>
      <c r="J59" s="152">
        <f>Op_Income-J56</f>
        <v>10132.5</v>
      </c>
      <c r="K59" s="153"/>
      <c r="L59" s="150"/>
    </row>
    <row r="60" spans="1:13" ht="15" customHeight="1" thickTop="1">
      <c r="A60" s="154"/>
      <c r="B60" s="373" t="s">
        <v>102</v>
      </c>
      <c r="C60" s="374"/>
      <c r="D60" s="155">
        <f>SUM(D30:D59)</f>
        <v>157550</v>
      </c>
      <c r="E60" s="156">
        <f t="shared" si="1"/>
        <v>0.31487958429099633</v>
      </c>
      <c r="F60" s="65"/>
      <c r="K60" s="153"/>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c r="H64" s="96"/>
    </row>
    <row r="65" spans="1:8" ht="15" customHeight="1">
      <c r="A65" s="96"/>
      <c r="B65" s="96"/>
      <c r="C65" s="96"/>
      <c r="D65" s="65"/>
      <c r="E65" s="9"/>
      <c r="H65" s="96"/>
    </row>
    <row r="66" spans="1:8" ht="15" customHeight="1">
      <c r="A66" s="96"/>
      <c r="H66" s="96"/>
    </row>
    <row r="67" spans="1:8" ht="15" customHeight="1">
      <c r="A67" s="159"/>
      <c r="H67" s="96"/>
    </row>
    <row r="68" spans="1:8" ht="15" customHeight="1">
      <c r="A68" s="69"/>
      <c r="H68" s="96"/>
    </row>
    <row r="69" spans="1:8" ht="15" customHeight="1">
      <c r="A69" s="69"/>
      <c r="G69" s="160"/>
    </row>
    <row r="70" spans="1:8" ht="15" customHeight="1">
      <c r="A70" s="69"/>
      <c r="F70" s="161"/>
    </row>
    <row r="71" spans="1:8" ht="15" customHeight="1">
      <c r="F71" s="161"/>
    </row>
    <row r="72" spans="1:8" ht="15" customHeight="1"/>
    <row r="73" spans="1:8" ht="15" customHeight="1"/>
    <row r="74" spans="1:8" ht="15" customHeight="1"/>
    <row r="75" spans="1:8" ht="15" customHeight="1"/>
    <row r="76" spans="1:8" ht="15" customHeight="1"/>
    <row r="77" spans="1:8" ht="15" customHeight="1"/>
    <row r="78" spans="1:8" ht="15" customHeight="1"/>
    <row r="79" spans="1:8" ht="15" customHeight="1"/>
    <row r="80" spans="1:8" ht="15" customHeight="1"/>
    <row r="81" ht="15" customHeight="1"/>
  </sheetData>
  <mergeCells count="15">
    <mergeCell ref="A2:C2"/>
    <mergeCell ref="A8:C8"/>
    <mergeCell ref="H9:I9"/>
    <mergeCell ref="H8:I8"/>
    <mergeCell ref="H18:I18"/>
    <mergeCell ref="A9:C9"/>
    <mergeCell ref="A17:C17"/>
    <mergeCell ref="B14:C14"/>
    <mergeCell ref="K29:M29"/>
    <mergeCell ref="B25:C25"/>
    <mergeCell ref="B26:C26"/>
    <mergeCell ref="B60:C60"/>
    <mergeCell ref="A29:C29"/>
    <mergeCell ref="H51:J53"/>
    <mergeCell ref="H58:I59"/>
  </mergeCells>
  <phoneticPr fontId="2" type="noConversion"/>
  <conditionalFormatting sqref="D26">
    <cfRule type="cellIs" dxfId="1" priority="1" stopIfTrue="1" operator="lessThan">
      <formula>0</formula>
    </cfRule>
  </conditionalFormatting>
  <dataValidations count="2">
    <dataValidation type="decimal" allowBlank="1" showInputMessage="1" showErrorMessage="1" error="Please enter an amount between -10,000,000 and 10,000,000." sqref="D2:F6 D16:D24 K46 L54:L56 F44:F60 D69:F69 L49:L51 F8:F41 J59 E16:E65 D63 D61 D65 D72:F65518 D8:E14 D27:D59">
      <formula1>-10000000</formula1>
      <formula2>10000000</formula2>
    </dataValidation>
    <dataValidation allowBlank="1" showInputMessage="1" showErrorMessage="1" error="Please enter an amount between -10,000,000 and 10,000,000." sqref="H50 D60 G2:G6 G55:G59 M49:M52 G68 M56 G8:G42 J59 M54 J56 G71:G65517 D25:D26 J48 I46:J46"/>
  </dataValidations>
  <pageMargins left="0.75" right="0.75" top="0.75" bottom="0.75" header="0.5" footer="0.5"/>
  <pageSetup scale="55" orientation="portrait" horizontalDpi="300" verticalDpi="300"/>
  <headerFooter>
    <oddHeader>&amp;R&amp;G</oddHeader>
    <oddFooter>&amp;C&amp;"Helvetica Neue,Regular"&amp;8Updated: 1/23/18</oddFooter>
  </headerFooter>
  <drawing r:id="rId1"/>
  <legacy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H41"/>
  <sheetViews>
    <sheetView showGridLines="0" view="pageLayout" workbookViewId="0">
      <selection activeCell="D57" sqref="D57"/>
    </sheetView>
  </sheetViews>
  <sheetFormatPr baseColWidth="10" defaultColWidth="8" defaultRowHeight="17" customHeight="1" x14ac:dyDescent="0"/>
  <cols>
    <col min="1" max="1" width="3" style="2" customWidth="1"/>
    <col min="2" max="2" width="13.5703125" style="2" customWidth="1"/>
    <col min="3" max="3" width="4.5703125" style="2" customWidth="1"/>
    <col min="4" max="4" width="11" style="157" customWidth="1"/>
    <col min="5" max="5" width="5.42578125" style="110" customWidth="1"/>
    <col min="6" max="6" width="1.85546875" style="2" customWidth="1"/>
    <col min="7" max="7" width="23.28515625" style="2" customWidth="1"/>
    <col min="8" max="8" width="9.42578125" style="7" customWidth="1"/>
    <col min="9" max="16384" width="8" style="2"/>
  </cols>
  <sheetData>
    <row r="1" spans="1:8" ht="23">
      <c r="A1" s="1" t="s">
        <v>130</v>
      </c>
      <c r="B1" s="4"/>
      <c r="C1" s="4"/>
      <c r="D1" s="4"/>
      <c r="E1" s="5"/>
      <c r="F1" s="4"/>
      <c r="G1" s="6"/>
    </row>
    <row r="2" spans="1:8" ht="17" customHeight="1">
      <c r="A2" s="359"/>
      <c r="B2" s="359"/>
      <c r="C2" s="359"/>
      <c r="D2" s="8"/>
      <c r="E2" s="9"/>
      <c r="F2" s="4"/>
      <c r="G2" s="4"/>
    </row>
    <row r="3" spans="1:8" ht="17" customHeight="1">
      <c r="A3" s="59" t="s">
        <v>156</v>
      </c>
      <c r="B3" s="59"/>
      <c r="C3" s="60" t="str">
        <f>'Step 2'!C3</f>
        <v>Sample Clinic</v>
      </c>
      <c r="D3" s="61"/>
      <c r="E3" s="62"/>
      <c r="F3" s="4"/>
      <c r="G3" s="4"/>
    </row>
    <row r="4" spans="1:8" ht="17" customHeight="1">
      <c r="A4" s="14" t="s">
        <v>233</v>
      </c>
      <c r="B4" s="14"/>
      <c r="C4" s="14"/>
      <c r="D4" s="14"/>
      <c r="E4" s="16"/>
      <c r="F4" s="14"/>
      <c r="G4" s="14"/>
      <c r="H4" s="16"/>
    </row>
    <row r="5" spans="1:8" ht="17" customHeight="1">
      <c r="A5" s="14" t="s">
        <v>232</v>
      </c>
      <c r="B5" s="14"/>
      <c r="C5" s="14"/>
      <c r="D5" s="14"/>
      <c r="E5" s="16"/>
      <c r="F5" s="14"/>
      <c r="G5" s="14"/>
      <c r="H5" s="16"/>
    </row>
    <row r="6" spans="1:8" ht="17" customHeight="1">
      <c r="A6" s="359"/>
      <c r="B6" s="359"/>
      <c r="C6" s="359"/>
      <c r="D6" s="65"/>
      <c r="E6" s="9"/>
      <c r="F6" s="347"/>
      <c r="G6" s="347"/>
    </row>
    <row r="7" spans="1:8" ht="17" customHeight="1">
      <c r="A7" s="162" t="s">
        <v>27</v>
      </c>
      <c r="B7" s="163"/>
      <c r="C7" s="163"/>
      <c r="D7" s="66"/>
      <c r="E7" s="9"/>
      <c r="F7" s="383" t="s">
        <v>131</v>
      </c>
      <c r="G7" s="384"/>
      <c r="H7" s="67"/>
    </row>
    <row r="8" spans="1:8" ht="17" customHeight="1">
      <c r="A8" s="68"/>
      <c r="B8" s="69" t="s">
        <v>29</v>
      </c>
      <c r="C8" s="69"/>
      <c r="D8" s="70">
        <f>H8*H13</f>
        <v>520500</v>
      </c>
      <c r="E8" s="164"/>
      <c r="F8" s="73"/>
      <c r="G8" s="74" t="s">
        <v>106</v>
      </c>
      <c r="H8" s="165">
        <f>'Step 2'!$J$10</f>
        <v>61.964285714285715</v>
      </c>
    </row>
    <row r="9" spans="1:8" ht="17" customHeight="1" thickBot="1">
      <c r="A9" s="68"/>
      <c r="B9" s="69" t="s">
        <v>53</v>
      </c>
      <c r="C9" s="69"/>
      <c r="D9" s="70">
        <f>'Step 2'!D11</f>
        <v>15000</v>
      </c>
      <c r="E9" s="164"/>
      <c r="F9" s="73"/>
      <c r="G9" s="74" t="s">
        <v>178</v>
      </c>
      <c r="H9" s="166">
        <f>'Step 2'!$J$11</f>
        <v>15</v>
      </c>
    </row>
    <row r="10" spans="1:8" ht="17" customHeight="1">
      <c r="A10" s="68"/>
      <c r="B10" s="69" t="s">
        <v>22</v>
      </c>
      <c r="C10" s="69"/>
      <c r="D10" s="70">
        <f>'Step 2'!D12</f>
        <v>0</v>
      </c>
      <c r="E10" s="164"/>
      <c r="F10" s="73"/>
      <c r="G10" s="101" t="s">
        <v>30</v>
      </c>
      <c r="H10" s="167">
        <f>'Step 2'!J14</f>
        <v>35</v>
      </c>
    </row>
    <row r="11" spans="1:8" ht="17" customHeight="1" thickBot="1">
      <c r="A11" s="81"/>
      <c r="B11" s="82" t="s">
        <v>132</v>
      </c>
      <c r="C11" s="82"/>
      <c r="D11" s="168">
        <f>'Step 2'!D13</f>
        <v>0</v>
      </c>
      <c r="E11" s="164"/>
      <c r="F11" s="73"/>
      <c r="G11" s="169" t="s">
        <v>31</v>
      </c>
      <c r="H11" s="85">
        <f>'Step 1'!D11</f>
        <v>5</v>
      </c>
    </row>
    <row r="12" spans="1:8" ht="17" customHeight="1" thickTop="1" thickBot="1">
      <c r="A12" s="86"/>
      <c r="B12" s="373" t="s">
        <v>94</v>
      </c>
      <c r="C12" s="374"/>
      <c r="D12" s="170">
        <f>SUM(D8:D11)</f>
        <v>535500</v>
      </c>
      <c r="E12" s="164"/>
      <c r="F12" s="73"/>
      <c r="G12" s="103" t="s">
        <v>54</v>
      </c>
      <c r="H12" s="90">
        <f>'Step 1'!D10</f>
        <v>48</v>
      </c>
    </row>
    <row r="13" spans="1:8" ht="17" customHeight="1" thickTop="1" thickBot="1">
      <c r="A13" s="69"/>
      <c r="B13" s="171"/>
      <c r="C13" s="171"/>
      <c r="D13" s="172"/>
      <c r="E13" s="164"/>
      <c r="F13" s="93"/>
      <c r="G13" s="173" t="s">
        <v>55</v>
      </c>
      <c r="H13" s="95">
        <f>H10*H11*H12</f>
        <v>8400</v>
      </c>
    </row>
    <row r="14" spans="1:8" ht="17" customHeight="1">
      <c r="A14" s="69"/>
      <c r="B14" s="171"/>
      <c r="C14" s="171"/>
      <c r="D14" s="172"/>
      <c r="E14" s="164"/>
    </row>
    <row r="15" spans="1:8" ht="17" customHeight="1">
      <c r="A15" s="375" t="s">
        <v>115</v>
      </c>
      <c r="B15" s="376"/>
      <c r="C15" s="376"/>
      <c r="D15" s="98"/>
      <c r="E15" s="10"/>
    </row>
    <row r="16" spans="1:8" ht="17" customHeight="1" thickBot="1">
      <c r="A16" s="68"/>
      <c r="B16" s="69" t="s">
        <v>116</v>
      </c>
      <c r="C16" s="69"/>
      <c r="D16" s="174">
        <f>'Step 2'!D18</f>
        <v>3000</v>
      </c>
      <c r="E16" s="175"/>
      <c r="F16" s="376" t="s">
        <v>76</v>
      </c>
      <c r="G16" s="381"/>
      <c r="H16" s="67"/>
    </row>
    <row r="17" spans="1:8" ht="17" customHeight="1" thickBot="1">
      <c r="A17" s="68"/>
      <c r="B17" s="69" t="s">
        <v>198</v>
      </c>
      <c r="C17" s="69"/>
      <c r="D17" s="70">
        <f>H13*H9</f>
        <v>126000</v>
      </c>
      <c r="E17" s="175"/>
      <c r="F17" s="176"/>
      <c r="G17" s="101" t="s">
        <v>133</v>
      </c>
      <c r="H17" s="177">
        <f>'Step 2'!J19</f>
        <v>1</v>
      </c>
    </row>
    <row r="18" spans="1:8" ht="17" customHeight="1" thickBot="1">
      <c r="A18" s="68"/>
      <c r="B18" s="69" t="s">
        <v>44</v>
      </c>
      <c r="C18" s="69"/>
      <c r="D18" s="174">
        <f>'Step 2'!D20</f>
        <v>3000</v>
      </c>
      <c r="E18" s="175"/>
      <c r="F18" s="176"/>
      <c r="G18" s="103" t="s">
        <v>134</v>
      </c>
      <c r="H18" s="178">
        <f>'Step 2'!J20</f>
        <v>78000</v>
      </c>
    </row>
    <row r="19" spans="1:8" ht="17" customHeight="1" thickTop="1" thickBot="1">
      <c r="A19" s="68"/>
      <c r="B19" s="69" t="s">
        <v>56</v>
      </c>
      <c r="C19" s="69"/>
      <c r="D19" s="70">
        <f>H29</f>
        <v>172000</v>
      </c>
      <c r="E19" s="175"/>
      <c r="F19" s="176"/>
      <c r="G19" s="94" t="s">
        <v>135</v>
      </c>
      <c r="H19" s="179">
        <f>H17*H18</f>
        <v>78000</v>
      </c>
    </row>
    <row r="20" spans="1:8" ht="17" customHeight="1" thickBot="1">
      <c r="A20" s="68"/>
      <c r="B20" s="69" t="s">
        <v>155</v>
      </c>
      <c r="C20" s="69"/>
      <c r="D20" s="174">
        <f>'Step 2'!D22</f>
        <v>0</v>
      </c>
      <c r="E20" s="175"/>
      <c r="F20" s="176"/>
      <c r="G20" s="106" t="s">
        <v>107</v>
      </c>
      <c r="H20" s="177">
        <f>'Step 2'!J22</f>
        <v>1</v>
      </c>
    </row>
    <row r="21" spans="1:8" ht="17" customHeight="1" thickBot="1">
      <c r="A21" s="68"/>
      <c r="B21" s="69" t="s">
        <v>105</v>
      </c>
      <c r="C21" s="69"/>
      <c r="D21" s="70">
        <f>D19*15%</f>
        <v>25800</v>
      </c>
      <c r="E21" s="175"/>
      <c r="F21" s="176"/>
      <c r="G21" s="103" t="s">
        <v>113</v>
      </c>
      <c r="H21" s="178">
        <f>'Step 2'!J23</f>
        <v>32000</v>
      </c>
    </row>
    <row r="22" spans="1:8" ht="17" customHeight="1" thickTop="1" thickBot="1">
      <c r="A22" s="81"/>
      <c r="B22" s="82" t="s">
        <v>179</v>
      </c>
      <c r="C22" s="82"/>
      <c r="D22" s="108">
        <f>2600*(H17+H20+H23+H26)</f>
        <v>13000</v>
      </c>
      <c r="E22" s="175"/>
      <c r="F22" s="176"/>
      <c r="G22" s="94" t="s">
        <v>114</v>
      </c>
      <c r="H22" s="179">
        <f>H20*H21</f>
        <v>32000</v>
      </c>
    </row>
    <row r="23" spans="1:8" ht="17" customHeight="1" thickTop="1" thickBot="1">
      <c r="A23" s="68"/>
      <c r="B23" s="370" t="s">
        <v>45</v>
      </c>
      <c r="C23" s="371"/>
      <c r="D23" s="87">
        <f>SUM(D16:D22)</f>
        <v>342800</v>
      </c>
      <c r="E23" s="180"/>
      <c r="F23" s="176"/>
      <c r="G23" s="112" t="s">
        <v>136</v>
      </c>
      <c r="H23" s="177">
        <f>'Step 2'!J25</f>
        <v>2</v>
      </c>
    </row>
    <row r="24" spans="1:8" ht="17" customHeight="1" thickBot="1">
      <c r="A24" s="86"/>
      <c r="B24" s="372" t="s">
        <v>61</v>
      </c>
      <c r="C24" s="346"/>
      <c r="D24" s="113">
        <f>(D12-D23)</f>
        <v>192700</v>
      </c>
      <c r="E24" s="181"/>
      <c r="F24" s="176"/>
      <c r="G24" s="103" t="s">
        <v>137</v>
      </c>
      <c r="H24" s="178">
        <f>'Step 2'!J26</f>
        <v>22000</v>
      </c>
    </row>
    <row r="25" spans="1:8" ht="17" customHeight="1" thickTop="1" thickBot="1">
      <c r="A25" s="69"/>
      <c r="B25" s="69"/>
      <c r="C25" s="69"/>
      <c r="D25" s="182"/>
      <c r="E25" s="183"/>
      <c r="F25" s="176"/>
      <c r="G25" s="94" t="s">
        <v>138</v>
      </c>
      <c r="H25" s="179">
        <f>H23*H24</f>
        <v>44000</v>
      </c>
    </row>
    <row r="26" spans="1:8" ht="17" customHeight="1" thickBot="1">
      <c r="A26" s="69"/>
      <c r="B26" s="69"/>
      <c r="C26" s="69"/>
      <c r="D26" s="182"/>
      <c r="F26" s="73"/>
      <c r="G26" s="112" t="s">
        <v>180</v>
      </c>
      <c r="H26" s="177">
        <f>'Step 2'!J28</f>
        <v>1</v>
      </c>
    </row>
    <row r="27" spans="1:8" ht="17" customHeight="1" thickBot="1">
      <c r="A27" s="96"/>
      <c r="B27" s="96"/>
      <c r="C27" s="96"/>
      <c r="D27" s="182"/>
      <c r="F27" s="73"/>
      <c r="G27" s="103" t="s">
        <v>60</v>
      </c>
      <c r="H27" s="178">
        <f>'Step 2'!J29</f>
        <v>18000</v>
      </c>
    </row>
    <row r="28" spans="1:8" ht="17" customHeight="1" thickTop="1" thickBot="1">
      <c r="A28" s="96"/>
      <c r="C28" s="135" t="s">
        <v>102</v>
      </c>
      <c r="D28" s="184">
        <f>'Step 2'!D60</f>
        <v>157550</v>
      </c>
      <c r="F28" s="73"/>
      <c r="G28" s="94" t="s">
        <v>210</v>
      </c>
      <c r="H28" s="179">
        <f>H26*H27</f>
        <v>18000</v>
      </c>
    </row>
    <row r="29" spans="1:8" ht="17" customHeight="1" thickBot="1">
      <c r="A29" s="69"/>
      <c r="C29" s="69"/>
      <c r="D29" s="78"/>
      <c r="F29" s="118"/>
      <c r="G29" s="185" t="s">
        <v>77</v>
      </c>
      <c r="H29" s="186">
        <f>H19+H22+H25+H28</f>
        <v>172000</v>
      </c>
    </row>
    <row r="30" spans="1:8" ht="17" customHeight="1" thickBot="1">
      <c r="A30" s="96"/>
      <c r="C30" s="187"/>
      <c r="D30" s="188"/>
      <c r="F30" s="121" t="s">
        <v>78</v>
      </c>
      <c r="G30" s="121"/>
      <c r="H30" s="189">
        <f>'Step 2'!J32</f>
        <v>0</v>
      </c>
    </row>
    <row r="31" spans="1:8" ht="17" customHeight="1" thickBot="1">
      <c r="A31" s="96"/>
      <c r="C31" s="188" t="s">
        <v>174</v>
      </c>
      <c r="D31" s="190">
        <f>D24-D28</f>
        <v>35150</v>
      </c>
      <c r="F31" s="73"/>
      <c r="G31" s="101" t="s">
        <v>208</v>
      </c>
      <c r="H31" s="177">
        <f>'Step 2'!J33</f>
        <v>0</v>
      </c>
    </row>
    <row r="32" spans="1:8" ht="17" customHeight="1" thickBot="1">
      <c r="A32" s="69"/>
      <c r="B32" s="149"/>
      <c r="C32" s="96"/>
      <c r="D32" s="65"/>
      <c r="F32" s="73"/>
      <c r="G32" s="103" t="s">
        <v>209</v>
      </c>
      <c r="H32" s="178">
        <f>'Step 2'!J34</f>
        <v>0</v>
      </c>
    </row>
    <row r="33" spans="1:8" ht="17" customHeight="1" thickTop="1" thickBot="1">
      <c r="A33" s="69"/>
      <c r="B33" s="149"/>
      <c r="F33" s="73"/>
      <c r="G33" s="94" t="s">
        <v>58</v>
      </c>
      <c r="H33" s="179">
        <f>H31*H32</f>
        <v>0</v>
      </c>
    </row>
    <row r="34" spans="1:8" ht="17" customHeight="1" thickBot="1">
      <c r="A34" s="69"/>
      <c r="B34" s="149"/>
      <c r="C34" s="3"/>
      <c r="F34" s="73"/>
      <c r="G34" s="112" t="s">
        <v>97</v>
      </c>
      <c r="H34" s="177">
        <f>'Step 2'!J36</f>
        <v>1</v>
      </c>
    </row>
    <row r="35" spans="1:8" ht="17" customHeight="1" thickBot="1">
      <c r="A35" s="69"/>
      <c r="B35" s="149"/>
      <c r="C35" s="3"/>
      <c r="F35" s="73"/>
      <c r="G35" s="103" t="s">
        <v>98</v>
      </c>
      <c r="H35" s="178">
        <f>'Step 2'!J37</f>
        <v>45000</v>
      </c>
    </row>
    <row r="36" spans="1:8" ht="17" customHeight="1" thickTop="1" thickBot="1">
      <c r="A36" s="96"/>
      <c r="B36" s="96"/>
      <c r="C36" s="3"/>
      <c r="F36" s="73"/>
      <c r="G36" s="94" t="s">
        <v>99</v>
      </c>
      <c r="H36" s="179">
        <f>H34*H35</f>
        <v>45000</v>
      </c>
    </row>
    <row r="37" spans="1:8" ht="17" customHeight="1" thickBot="1">
      <c r="A37" s="96"/>
      <c r="C37" s="3"/>
      <c r="F37" s="73"/>
      <c r="G37" s="112" t="s">
        <v>34</v>
      </c>
      <c r="H37" s="177">
        <f>'Step 2'!J39</f>
        <v>1.5</v>
      </c>
    </row>
    <row r="38" spans="1:8" ht="17" customHeight="1" thickBot="1">
      <c r="A38" s="191"/>
      <c r="B38" s="3"/>
      <c r="F38" s="73"/>
      <c r="G38" s="103" t="s">
        <v>35</v>
      </c>
      <c r="H38" s="178">
        <f>'Step 2'!J40</f>
        <v>22000</v>
      </c>
    </row>
    <row r="39" spans="1:8" ht="17" customHeight="1" thickTop="1" thickBot="1">
      <c r="A39" s="3"/>
      <c r="B39" s="3"/>
      <c r="D39" s="192"/>
      <c r="F39" s="73"/>
      <c r="G39" s="124" t="s">
        <v>172</v>
      </c>
      <c r="H39" s="179">
        <f>H37*H38</f>
        <v>33000</v>
      </c>
    </row>
    <row r="40" spans="1:8" ht="17" customHeight="1" thickBot="1">
      <c r="A40" s="3"/>
      <c r="B40" s="3"/>
      <c r="D40" s="78"/>
      <c r="F40" s="68"/>
      <c r="G40" s="193" t="s">
        <v>79</v>
      </c>
      <c r="H40" s="194">
        <f>H33+H36+H39</f>
        <v>78000</v>
      </c>
    </row>
    <row r="41" spans="1:8" ht="17" customHeight="1" thickBot="1">
      <c r="A41" s="3"/>
      <c r="B41" s="3"/>
      <c r="C41" s="3"/>
      <c r="D41" s="78"/>
      <c r="F41" s="93"/>
      <c r="G41" s="128" t="s">
        <v>80</v>
      </c>
      <c r="H41" s="195">
        <f>H29+H40</f>
        <v>250000</v>
      </c>
    </row>
  </sheetData>
  <mergeCells count="9">
    <mergeCell ref="B24:C24"/>
    <mergeCell ref="A2:C2"/>
    <mergeCell ref="A6:C6"/>
    <mergeCell ref="F16:G16"/>
    <mergeCell ref="B12:C12"/>
    <mergeCell ref="F6:G6"/>
    <mergeCell ref="F7:G7"/>
    <mergeCell ref="A15:C15"/>
    <mergeCell ref="B23:C23"/>
  </mergeCells>
  <phoneticPr fontId="3" type="noConversion"/>
  <conditionalFormatting sqref="D24">
    <cfRule type="cellIs" dxfId="0" priority="1" stopIfTrue="1" operator="lessThan">
      <formula>0</formula>
    </cfRule>
  </conditionalFormatting>
  <dataValidations count="2">
    <dataValidation type="decimal" allowBlank="1" showInputMessage="1" showErrorMessage="1" error="Please enter an amount between -10,000,000 and 10,000,000." sqref="D32 E6:E24 D25:D29 D6:D22 D2:E3 E42:E65478 D42:D65487">
      <formula1>-10000000</formula1>
      <formula2>10000000</formula2>
    </dataValidation>
    <dataValidation allowBlank="1" showInputMessage="1" showErrorMessage="1" error="Please enter an amount between -10,000,000 and 10,000,000." sqref="D31 D39 D23:D24"/>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G40"/>
  <sheetViews>
    <sheetView showGridLines="0" view="pageLayout" workbookViewId="0">
      <selection activeCell="D57" sqref="D57"/>
    </sheetView>
  </sheetViews>
  <sheetFormatPr baseColWidth="10" defaultColWidth="9" defaultRowHeight="13" x14ac:dyDescent="0"/>
  <cols>
    <col min="1" max="1" width="4.7109375" style="13" customWidth="1"/>
    <col min="2" max="2" width="11.28515625" style="13" customWidth="1"/>
    <col min="3" max="3" width="23" style="13" customWidth="1"/>
    <col min="4" max="5" width="9.140625" style="13" customWidth="1"/>
    <col min="6" max="16384" width="9" style="13"/>
  </cols>
  <sheetData>
    <row r="1" spans="1:7" s="2" customFormat="1" ht="23">
      <c r="A1" s="1" t="s">
        <v>177</v>
      </c>
      <c r="B1" s="1"/>
      <c r="C1" s="4"/>
      <c r="D1" s="4"/>
      <c r="E1" s="4"/>
      <c r="F1" s="5"/>
    </row>
    <row r="2" spans="1:7" s="2" customFormat="1" ht="18" customHeight="1">
      <c r="A2" s="359"/>
      <c r="B2" s="359"/>
      <c r="C2" s="359"/>
      <c r="D2" s="359"/>
      <c r="E2" s="8"/>
      <c r="F2" s="9"/>
    </row>
    <row r="3" spans="1:7" s="2" customFormat="1" ht="18" customHeight="1">
      <c r="A3" s="59" t="s">
        <v>156</v>
      </c>
      <c r="B3" s="59"/>
      <c r="C3" s="60" t="str">
        <f>'Step 2'!C3</f>
        <v>Sample Clinic</v>
      </c>
      <c r="D3" s="198"/>
      <c r="E3" s="61"/>
      <c r="F3" s="10"/>
    </row>
    <row r="4" spans="1:7" s="2" customFormat="1" ht="18" customHeight="1">
      <c r="A4" s="14" t="s">
        <v>233</v>
      </c>
      <c r="B4" s="14"/>
      <c r="C4" s="14"/>
      <c r="D4" s="14"/>
      <c r="E4" s="14"/>
      <c r="F4" s="16"/>
      <c r="G4" s="17"/>
    </row>
    <row r="5" spans="1:7">
      <c r="A5" s="199"/>
      <c r="B5" s="199"/>
    </row>
    <row r="6" spans="1:7" ht="26">
      <c r="A6" s="200" t="s">
        <v>185</v>
      </c>
      <c r="B6" s="201"/>
      <c r="C6" s="201"/>
      <c r="D6" s="202" t="s">
        <v>122</v>
      </c>
      <c r="E6" s="203" t="s">
        <v>186</v>
      </c>
    </row>
    <row r="7" spans="1:7">
      <c r="A7" s="21"/>
      <c r="B7" s="23" t="s">
        <v>82</v>
      </c>
      <c r="D7" s="204">
        <v>35000</v>
      </c>
      <c r="E7" s="204">
        <v>35000</v>
      </c>
    </row>
    <row r="8" spans="1:7">
      <c r="A8" s="21"/>
      <c r="B8" s="23" t="s">
        <v>216</v>
      </c>
      <c r="D8" s="204">
        <v>50000</v>
      </c>
      <c r="E8" s="204">
        <v>50000</v>
      </c>
    </row>
    <row r="9" spans="1:7">
      <c r="A9" s="21"/>
      <c r="B9" s="23" t="s">
        <v>218</v>
      </c>
      <c r="D9" s="204">
        <v>15000</v>
      </c>
      <c r="E9" s="204">
        <v>13500</v>
      </c>
    </row>
    <row r="10" spans="1:7">
      <c r="A10" s="21"/>
      <c r="B10" s="23" t="s">
        <v>217</v>
      </c>
      <c r="D10" s="204">
        <v>30000</v>
      </c>
      <c r="E10" s="204"/>
    </row>
    <row r="11" spans="1:7">
      <c r="A11" s="21"/>
      <c r="B11" s="23" t="s">
        <v>230</v>
      </c>
      <c r="D11" s="204">
        <v>85000</v>
      </c>
      <c r="E11" s="204"/>
    </row>
    <row r="12" spans="1:7">
      <c r="A12" s="21"/>
      <c r="B12" s="23" t="s">
        <v>231</v>
      </c>
      <c r="D12" s="204">
        <v>5000</v>
      </c>
      <c r="E12" s="204"/>
    </row>
    <row r="13" spans="1:7">
      <c r="A13" s="21"/>
      <c r="B13" s="205" t="s">
        <v>219</v>
      </c>
      <c r="D13" s="204">
        <v>6000</v>
      </c>
      <c r="E13" s="204">
        <v>6400</v>
      </c>
    </row>
    <row r="14" spans="1:7">
      <c r="A14" s="21"/>
      <c r="B14" s="23" t="s">
        <v>220</v>
      </c>
      <c r="D14" s="204">
        <v>5000</v>
      </c>
      <c r="E14" s="204"/>
    </row>
    <row r="15" spans="1:7">
      <c r="A15" s="21"/>
      <c r="B15" s="23"/>
      <c r="D15" s="204"/>
      <c r="E15" s="204"/>
    </row>
    <row r="16" spans="1:7" ht="14" thickBot="1">
      <c r="A16" s="25"/>
      <c r="B16" s="206"/>
      <c r="C16" s="207"/>
      <c r="D16" s="208"/>
      <c r="E16" s="208"/>
    </row>
    <row r="17" spans="1:5" ht="14" thickTop="1">
      <c r="A17" s="27"/>
      <c r="B17" s="209" t="s">
        <v>123</v>
      </c>
      <c r="C17" s="210"/>
      <c r="D17" s="211">
        <f>SUM(D7:D16)</f>
        <v>231000</v>
      </c>
      <c r="E17" s="211">
        <f>SUM(E7:E16)</f>
        <v>104900</v>
      </c>
    </row>
    <row r="18" spans="1:5">
      <c r="C18" s="20"/>
      <c r="D18" s="212"/>
      <c r="E18" s="212"/>
    </row>
    <row r="19" spans="1:5">
      <c r="A19" s="200" t="s">
        <v>187</v>
      </c>
      <c r="B19" s="201"/>
      <c r="C19" s="201"/>
      <c r="D19" s="213"/>
      <c r="E19" s="214"/>
    </row>
    <row r="20" spans="1:5">
      <c r="A20" s="21"/>
      <c r="B20" s="23" t="s">
        <v>62</v>
      </c>
      <c r="D20" s="215">
        <f>SUMIF('Yearly Summary'!D26:O26,"&lt;0")</f>
        <v>-42539.285714285688</v>
      </c>
      <c r="E20" s="216"/>
    </row>
    <row r="21" spans="1:5">
      <c r="A21" s="21"/>
      <c r="B21" s="23" t="s">
        <v>70</v>
      </c>
      <c r="D21" s="204">
        <v>6000</v>
      </c>
    </row>
    <row r="22" spans="1:5">
      <c r="A22" s="21"/>
      <c r="B22" s="23" t="s">
        <v>71</v>
      </c>
      <c r="D22" s="204">
        <v>65000</v>
      </c>
      <c r="E22" s="217"/>
    </row>
    <row r="23" spans="1:5">
      <c r="A23" s="21"/>
      <c r="B23" s="23" t="s">
        <v>73</v>
      </c>
      <c r="D23" s="204">
        <v>7000</v>
      </c>
    </row>
    <row r="24" spans="1:5">
      <c r="A24" s="21"/>
      <c r="B24" s="23" t="s">
        <v>74</v>
      </c>
      <c r="D24" s="204">
        <v>2000</v>
      </c>
    </row>
    <row r="25" spans="1:5">
      <c r="A25" s="21"/>
      <c r="B25" s="23" t="s">
        <v>194</v>
      </c>
      <c r="D25" s="204">
        <v>5000</v>
      </c>
    </row>
    <row r="26" spans="1:5">
      <c r="A26" s="21"/>
      <c r="B26" s="23" t="s">
        <v>188</v>
      </c>
      <c r="D26" s="204">
        <v>85000</v>
      </c>
    </row>
    <row r="27" spans="1:5">
      <c r="A27" s="21"/>
      <c r="B27" s="23" t="s">
        <v>195</v>
      </c>
      <c r="D27" s="204">
        <v>3000</v>
      </c>
    </row>
    <row r="28" spans="1:5">
      <c r="A28" s="21"/>
      <c r="B28" s="23" t="s">
        <v>104</v>
      </c>
      <c r="D28" s="204">
        <v>7500</v>
      </c>
    </row>
    <row r="29" spans="1:5">
      <c r="A29" s="21"/>
      <c r="B29" s="23" t="s">
        <v>103</v>
      </c>
      <c r="D29" s="204">
        <v>2500</v>
      </c>
    </row>
    <row r="30" spans="1:5">
      <c r="A30" s="21"/>
      <c r="B30" s="23"/>
      <c r="D30" s="204"/>
    </row>
    <row r="31" spans="1:5">
      <c r="A31" s="21"/>
      <c r="B31" s="218" t="s">
        <v>8</v>
      </c>
      <c r="C31" s="13" t="s">
        <v>8</v>
      </c>
      <c r="D31" s="204">
        <v>0</v>
      </c>
    </row>
    <row r="32" spans="1:5">
      <c r="A32" s="21"/>
      <c r="B32" s="144"/>
      <c r="D32" s="204">
        <v>0</v>
      </c>
    </row>
    <row r="33" spans="1:4">
      <c r="A33" s="21"/>
      <c r="B33" s="144"/>
      <c r="D33" s="204">
        <v>0</v>
      </c>
    </row>
    <row r="34" spans="1:4">
      <c r="A34" s="21"/>
      <c r="B34" s="144"/>
      <c r="D34" s="204">
        <v>0</v>
      </c>
    </row>
    <row r="35" spans="1:4">
      <c r="A35" s="21"/>
      <c r="B35" s="144"/>
      <c r="D35" s="204">
        <v>0</v>
      </c>
    </row>
    <row r="36" spans="1:4">
      <c r="A36" s="21"/>
      <c r="B36" s="144"/>
      <c r="D36" s="204">
        <v>0</v>
      </c>
    </row>
    <row r="37" spans="1:4" ht="14" thickBot="1">
      <c r="A37" s="25"/>
      <c r="B37" s="206"/>
      <c r="C37" s="207"/>
      <c r="D37" s="208">
        <v>0</v>
      </c>
    </row>
    <row r="38" spans="1:4" ht="14" thickTop="1">
      <c r="A38" s="27"/>
      <c r="B38" s="219" t="s">
        <v>124</v>
      </c>
      <c r="C38" s="210"/>
      <c r="D38" s="220">
        <f>SUM(D21:D37)-D20</f>
        <v>225539.28571428568</v>
      </c>
    </row>
    <row r="39" spans="1:4">
      <c r="D39" s="214"/>
    </row>
    <row r="40" spans="1:4">
      <c r="C40" s="55" t="s">
        <v>205</v>
      </c>
      <c r="D40" s="221">
        <f>(D38)-(E17)</f>
        <v>120639.28571428568</v>
      </c>
    </row>
  </sheetData>
  <mergeCells count="1">
    <mergeCell ref="A2:D2"/>
  </mergeCells>
  <phoneticPr fontId="3" type="noConversion"/>
  <dataValidations count="1">
    <dataValidation type="decimal" allowBlank="1" showInputMessage="1" showErrorMessage="1" error="Please enter an amount between -10,000,000 and 10,000,000." sqref="E2:F3">
      <formula1>-10000000</formula1>
      <formula2>10000000</formula2>
    </dataValidation>
  </dataValidations>
  <pageMargins left="0.75" right="0.75" top="0.75" bottom="0.75" header="0.5" footer="0.5"/>
  <pageSetup scale="95" orientation="portrait" horizontalDpi="4294967292" verticalDpi="4294967292"/>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193</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23546.428571428572</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24796.428571428572</v>
      </c>
      <c r="E14" s="71"/>
      <c r="F14" s="88"/>
      <c r="G14" s="9"/>
      <c r="H14" s="73"/>
      <c r="I14" s="89" t="s">
        <v>183</v>
      </c>
      <c r="J14" s="226">
        <v>19</v>
      </c>
    </row>
    <row r="15" spans="1:11" ht="15" customHeight="1" thickTop="1" thickBot="1">
      <c r="A15" s="96"/>
      <c r="B15" s="96"/>
      <c r="C15" s="96"/>
      <c r="D15" s="72"/>
      <c r="E15" s="71"/>
      <c r="F15" s="88"/>
      <c r="G15" s="9"/>
      <c r="H15" s="93"/>
      <c r="I15" s="94" t="s">
        <v>125</v>
      </c>
      <c r="J15" s="95">
        <f>J14*J13*J12</f>
        <v>380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6.7758328627893858E-3</v>
      </c>
      <c r="F18" s="88"/>
      <c r="G18" s="9"/>
      <c r="H18" s="375" t="s">
        <v>56</v>
      </c>
      <c r="I18" s="381"/>
      <c r="J18" s="67"/>
    </row>
    <row r="19" spans="1:10" ht="15" customHeight="1">
      <c r="A19" s="68"/>
      <c r="B19" s="69" t="s">
        <v>198</v>
      </c>
      <c r="C19" s="69"/>
      <c r="D19" s="174">
        <f>J15*J11</f>
        <v>5700</v>
      </c>
      <c r="E19" s="100">
        <f t="shared" si="0"/>
        <v>0.15448898927159799</v>
      </c>
      <c r="F19" s="88"/>
      <c r="G19" s="9"/>
      <c r="H19" s="73"/>
      <c r="I19" s="101" t="s">
        <v>133</v>
      </c>
      <c r="J19" s="223">
        <f>'Step 2'!J19</f>
        <v>1</v>
      </c>
    </row>
    <row r="20" spans="1:10" ht="15" customHeight="1" thickBot="1">
      <c r="A20" s="68"/>
      <c r="B20" s="69" t="s">
        <v>44</v>
      </c>
      <c r="C20" s="69"/>
      <c r="D20" s="174">
        <f>'Step 2'!D20/12</f>
        <v>250</v>
      </c>
      <c r="E20" s="100">
        <f t="shared" si="0"/>
        <v>6.7758328627893858E-3</v>
      </c>
      <c r="F20" s="72"/>
      <c r="G20" s="9"/>
      <c r="H20" s="73"/>
      <c r="I20" s="103" t="s">
        <v>134</v>
      </c>
      <c r="J20" s="227">
        <f>'Step 2'!J20/12</f>
        <v>6500</v>
      </c>
    </row>
    <row r="21" spans="1:10" ht="15" customHeight="1" thickTop="1" thickBot="1">
      <c r="A21" s="68"/>
      <c r="B21" s="69" t="s">
        <v>56</v>
      </c>
      <c r="C21" s="69"/>
      <c r="D21" s="174">
        <f>J31</f>
        <v>14333.333333333332</v>
      </c>
      <c r="E21" s="100">
        <f t="shared" si="0"/>
        <v>0.38848108413325805</v>
      </c>
      <c r="F21" s="72"/>
      <c r="G21" s="9"/>
      <c r="H21" s="73"/>
      <c r="I21" s="94" t="s">
        <v>135</v>
      </c>
      <c r="J21" s="228">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5.8272162619988715E-2</v>
      </c>
      <c r="F23" s="107"/>
      <c r="G23" s="9"/>
      <c r="H23" s="73"/>
      <c r="I23" s="103" t="s">
        <v>113</v>
      </c>
      <c r="J23" s="227">
        <f>'Step 2'!J23/12</f>
        <v>2666.6666666666665</v>
      </c>
    </row>
    <row r="24" spans="1:10" ht="15" customHeight="1" thickTop="1" thickBot="1">
      <c r="A24" s="81"/>
      <c r="B24" s="82" t="s">
        <v>179</v>
      </c>
      <c r="C24" s="82"/>
      <c r="D24" s="224">
        <f>'Step 2'!D24/12</f>
        <v>1083.3333333333333</v>
      </c>
      <c r="E24" s="109">
        <f t="shared" si="0"/>
        <v>2.9361942405420668E-2</v>
      </c>
      <c r="F24" s="65"/>
      <c r="H24" s="73"/>
      <c r="I24" s="94" t="s">
        <v>114</v>
      </c>
      <c r="J24" s="228">
        <f>'Step 2'!J24/12</f>
        <v>2666.6666666666665</v>
      </c>
    </row>
    <row r="25" spans="1:10" ht="15" customHeight="1" thickTop="1">
      <c r="A25" s="68"/>
      <c r="B25" s="370" t="s">
        <v>45</v>
      </c>
      <c r="C25" s="371"/>
      <c r="D25" s="225">
        <f>SUM(D18:D24)</f>
        <v>23766.666666666664</v>
      </c>
      <c r="E25" s="111">
        <f t="shared" si="0"/>
        <v>0.64415584415584415</v>
      </c>
      <c r="F25" s="107"/>
      <c r="G25" s="9"/>
      <c r="H25" s="73"/>
      <c r="I25" s="112" t="s">
        <v>136</v>
      </c>
      <c r="J25" s="223">
        <f>'Step 2'!J25</f>
        <v>2</v>
      </c>
    </row>
    <row r="26" spans="1:10" ht="15" customHeight="1" thickTop="1" thickBot="1">
      <c r="A26" s="86"/>
      <c r="B26" s="372" t="s">
        <v>61</v>
      </c>
      <c r="C26" s="346"/>
      <c r="D26" s="229">
        <f>D14-COGS</f>
        <v>1029.7619047619082</v>
      </c>
      <c r="E26" s="114"/>
      <c r="F26" s="65"/>
      <c r="H26" s="73"/>
      <c r="I26" s="103" t="s">
        <v>137</v>
      </c>
      <c r="J26" s="227">
        <f>'Step 2'!J26/12</f>
        <v>1833.3333333333333</v>
      </c>
    </row>
    <row r="27" spans="1:10" ht="15" customHeight="1" thickTop="1" thickBot="1">
      <c r="A27" s="96"/>
      <c r="C27" s="115"/>
      <c r="D27" s="107"/>
      <c r="E27" s="116"/>
      <c r="F27" s="65"/>
      <c r="G27" s="9"/>
      <c r="H27" s="73"/>
      <c r="I27" s="94" t="s">
        <v>138</v>
      </c>
      <c r="J27" s="228">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199</v>
      </c>
      <c r="C30" s="69"/>
      <c r="D30" s="70">
        <f>J42</f>
        <v>6500</v>
      </c>
      <c r="E30" s="100">
        <f>D30/J46</f>
        <v>0.17617165443252403</v>
      </c>
      <c r="F30" s="88"/>
      <c r="G30" s="9"/>
      <c r="H30" s="73"/>
      <c r="I30" s="94" t="s">
        <v>210</v>
      </c>
      <c r="J30" s="228">
        <f>'Step 2'!J30/12</f>
        <v>1500</v>
      </c>
    </row>
    <row r="31" spans="1:10" ht="15" customHeight="1" thickBot="1">
      <c r="A31" s="68"/>
      <c r="B31" s="69" t="s">
        <v>105</v>
      </c>
      <c r="C31" s="69"/>
      <c r="D31" s="70">
        <f>'Step 2'!D31/12</f>
        <v>975</v>
      </c>
      <c r="E31" s="100">
        <f t="shared" ref="E31:E60" si="1">D31/$J$46</f>
        <v>2.6425748164878603E-2</v>
      </c>
      <c r="F31" s="88"/>
      <c r="G31" s="9"/>
      <c r="H31" s="118"/>
      <c r="I31" s="230" t="s">
        <v>89</v>
      </c>
      <c r="J31" s="231">
        <f>J21+J24+J27+J30</f>
        <v>14333.333333333332</v>
      </c>
    </row>
    <row r="32" spans="1:10" ht="15" customHeight="1" thickBot="1">
      <c r="A32" s="68"/>
      <c r="B32" s="69" t="s">
        <v>33</v>
      </c>
      <c r="C32" s="69"/>
      <c r="D32" s="70">
        <f>'Step 2'!D32/12</f>
        <v>541.66666666666663</v>
      </c>
      <c r="E32" s="100">
        <f t="shared" si="1"/>
        <v>1.4680971202710334E-2</v>
      </c>
      <c r="F32" s="88"/>
      <c r="G32" s="9"/>
      <c r="H32" s="121" t="s">
        <v>148</v>
      </c>
      <c r="I32" s="232"/>
      <c r="J32" s="233"/>
    </row>
    <row r="33" spans="1:11" ht="15" customHeight="1">
      <c r="A33" s="68"/>
      <c r="B33" s="69" t="s">
        <v>13</v>
      </c>
      <c r="C33" s="69"/>
      <c r="D33" s="70">
        <f>'Step 2'!D33/12</f>
        <v>166.66666666666666</v>
      </c>
      <c r="E33" s="100">
        <f t="shared" si="1"/>
        <v>4.5172219085262569E-3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Top="1" thickBot="1">
      <c r="A35" s="68"/>
      <c r="B35" s="69" t="s">
        <v>47</v>
      </c>
      <c r="C35" s="69"/>
      <c r="D35" s="70">
        <f>'Step 2'!D35/12</f>
        <v>41.666666666666664</v>
      </c>
      <c r="E35" s="100">
        <f t="shared" si="1"/>
        <v>1.1293054771315642E-3</v>
      </c>
      <c r="F35" s="88"/>
      <c r="G35" s="9"/>
      <c r="H35" s="73"/>
      <c r="I35" s="94" t="s">
        <v>58</v>
      </c>
      <c r="J35" s="228">
        <f>'Step 2'!J35/12</f>
        <v>0</v>
      </c>
    </row>
    <row r="36" spans="1:11" ht="15" customHeight="1">
      <c r="A36" s="68"/>
      <c r="B36" s="69" t="s">
        <v>197</v>
      </c>
      <c r="C36" s="69"/>
      <c r="D36" s="70">
        <f>'Step 2'!D36/12</f>
        <v>208.33333333333334</v>
      </c>
      <c r="E36" s="100">
        <f t="shared" si="1"/>
        <v>5.6465273856578218E-3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Top="1" thickBot="1">
      <c r="A38" s="68"/>
      <c r="B38" s="69" t="s">
        <v>110</v>
      </c>
      <c r="C38" s="69"/>
      <c r="D38" s="70">
        <f>'Step 2'!D38/12</f>
        <v>8.3333333333333339</v>
      </c>
      <c r="E38" s="100">
        <f t="shared" si="1"/>
        <v>2.2586109542631287E-4</v>
      </c>
      <c r="F38" s="88"/>
      <c r="G38" s="9"/>
      <c r="H38" s="73"/>
      <c r="I38" s="94" t="s">
        <v>99</v>
      </c>
      <c r="J38" s="228">
        <f>'Step 2'!J38/12</f>
        <v>3750</v>
      </c>
    </row>
    <row r="39" spans="1:11" ht="15" customHeight="1">
      <c r="A39" s="68"/>
      <c r="B39" s="69" t="s">
        <v>111</v>
      </c>
      <c r="C39" s="69"/>
      <c r="D39" s="70">
        <f>'Step 2'!D39/12</f>
        <v>62.5</v>
      </c>
      <c r="E39" s="100">
        <f t="shared" si="1"/>
        <v>1.6939582156973465E-3</v>
      </c>
      <c r="F39" s="88"/>
      <c r="G39" s="9"/>
      <c r="H39" s="73"/>
      <c r="I39" s="112" t="s">
        <v>34</v>
      </c>
      <c r="J39" s="223">
        <f>'Step 2'!J39</f>
        <v>1.5</v>
      </c>
    </row>
    <row r="40" spans="1:11" ht="15" customHeight="1" thickBot="1">
      <c r="A40" s="68"/>
      <c r="B40" s="69" t="s">
        <v>108</v>
      </c>
      <c r="C40" s="69"/>
      <c r="D40" s="70">
        <f>'Step 2'!D40/12</f>
        <v>83.333333333333329</v>
      </c>
      <c r="E40" s="100">
        <f t="shared" si="1"/>
        <v>2.2586109542631285E-3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28">
        <f>'Step 2'!J41/12</f>
        <v>2750</v>
      </c>
    </row>
    <row r="42" spans="1:11" ht="15" customHeight="1" thickBot="1">
      <c r="A42" s="68"/>
      <c r="B42" s="69" t="s">
        <v>160</v>
      </c>
      <c r="C42" s="69"/>
      <c r="D42" s="70">
        <f>'Step 2'!D42/12</f>
        <v>166.66666666666666</v>
      </c>
      <c r="E42" s="100">
        <f t="shared" si="1"/>
        <v>4.5172219085262569E-3</v>
      </c>
      <c r="F42" s="74"/>
      <c r="G42" s="9"/>
      <c r="H42" s="68"/>
      <c r="I42" s="234" t="s">
        <v>149</v>
      </c>
      <c r="J42" s="235">
        <f>J35+J38+J41</f>
        <v>6500</v>
      </c>
    </row>
    <row r="43" spans="1:11" ht="15" customHeight="1" thickBot="1">
      <c r="A43" s="68"/>
      <c r="B43" s="69" t="s">
        <v>81</v>
      </c>
      <c r="C43" s="69"/>
      <c r="D43" s="70">
        <f>'Step 2'!D43/12</f>
        <v>125</v>
      </c>
      <c r="E43" s="100">
        <f t="shared" si="1"/>
        <v>3.3879164313946929E-3</v>
      </c>
      <c r="F43" s="69"/>
      <c r="G43" s="127"/>
      <c r="H43" s="93"/>
      <c r="I43" s="236" t="s">
        <v>181</v>
      </c>
      <c r="J43" s="237">
        <f>J31+J42</f>
        <v>20833.333333333332</v>
      </c>
    </row>
    <row r="44" spans="1:11" ht="15" customHeight="1">
      <c r="A44" s="68"/>
      <c r="B44" s="69" t="s">
        <v>90</v>
      </c>
      <c r="C44" s="69"/>
      <c r="D44" s="70">
        <f>'Step 2'!D44/12</f>
        <v>41.666666666666664</v>
      </c>
      <c r="E44" s="100">
        <f t="shared" si="1"/>
        <v>1.1293054771315642E-3</v>
      </c>
      <c r="F44" s="88"/>
      <c r="G44" s="130"/>
    </row>
    <row r="45" spans="1:11" ht="15" customHeight="1">
      <c r="A45" s="68"/>
      <c r="B45" s="69" t="s">
        <v>25</v>
      </c>
      <c r="C45" s="69"/>
      <c r="D45" s="70">
        <f>'Step 2'!D45/12</f>
        <v>166.66666666666666</v>
      </c>
      <c r="E45" s="100">
        <f t="shared" si="1"/>
        <v>4.5172219085262569E-3</v>
      </c>
      <c r="F45" s="88"/>
      <c r="G45" s="9"/>
    </row>
    <row r="46" spans="1:11" ht="15" customHeight="1">
      <c r="A46" s="68"/>
      <c r="B46" s="69" t="s">
        <v>26</v>
      </c>
      <c r="C46" s="69"/>
      <c r="D46" s="70">
        <f>'Step 2'!D46/12</f>
        <v>41.666666666666664</v>
      </c>
      <c r="E46" s="100">
        <f t="shared" si="1"/>
        <v>1.1293054771315642E-3</v>
      </c>
      <c r="F46" s="88"/>
      <c r="I46" s="131" t="s">
        <v>117</v>
      </c>
      <c r="J46" s="132">
        <f>SUM(D25,D60)</f>
        <v>36895.833333333328</v>
      </c>
      <c r="K46" s="133">
        <f>E60+E25</f>
        <v>1</v>
      </c>
    </row>
    <row r="47" spans="1:11" ht="15" customHeight="1">
      <c r="A47" s="68"/>
      <c r="B47" s="69" t="s">
        <v>225</v>
      </c>
      <c r="C47" s="69"/>
      <c r="D47" s="70">
        <f>'Step 2'!D47/12</f>
        <v>166.66666666666666</v>
      </c>
      <c r="E47" s="100">
        <f t="shared" si="1"/>
        <v>4.5172219085262569E-3</v>
      </c>
      <c r="F47" s="88"/>
      <c r="G47" s="142"/>
      <c r="I47" s="238"/>
      <c r="J47" s="239"/>
      <c r="K47" s="153"/>
    </row>
    <row r="48" spans="1:11" ht="15" customHeight="1">
      <c r="A48" s="68"/>
      <c r="B48" s="69" t="s">
        <v>5</v>
      </c>
      <c r="C48" s="69"/>
      <c r="D48" s="70">
        <f>'Step 2'!D48/12</f>
        <v>583.33333333333337</v>
      </c>
      <c r="E48" s="100">
        <f t="shared" si="1"/>
        <v>1.58102766798419E-2</v>
      </c>
      <c r="F48" s="88"/>
      <c r="G48" s="142"/>
      <c r="I48" s="135" t="s">
        <v>174</v>
      </c>
      <c r="J48" s="136">
        <f>(D26-D60)</f>
        <v>-12099.404761904758</v>
      </c>
      <c r="K48" s="153"/>
    </row>
    <row r="49" spans="1:13" ht="15" customHeight="1">
      <c r="A49" s="68"/>
      <c r="B49" s="69" t="s">
        <v>154</v>
      </c>
      <c r="C49" s="69"/>
      <c r="D49" s="70">
        <f>'Step 2'!D49/12</f>
        <v>166.66666666666666</v>
      </c>
      <c r="E49" s="100">
        <f t="shared" si="1"/>
        <v>4.5172219085262569E-3</v>
      </c>
      <c r="F49" s="88"/>
      <c r="G49" s="142"/>
      <c r="K49" s="137"/>
      <c r="L49" s="138"/>
      <c r="M49" s="10"/>
    </row>
    <row r="50" spans="1:13" ht="15" customHeight="1">
      <c r="A50" s="68"/>
      <c r="B50" s="69" t="s">
        <v>66</v>
      </c>
      <c r="C50" s="69"/>
      <c r="D50" s="70">
        <f>'Step 2'!D50/12</f>
        <v>2000</v>
      </c>
      <c r="E50" s="100">
        <f t="shared" si="1"/>
        <v>5.4206662902315086E-2</v>
      </c>
      <c r="F50" s="88"/>
      <c r="G50" s="9"/>
      <c r="K50" s="137"/>
      <c r="L50" s="139"/>
      <c r="M50" s="110"/>
    </row>
    <row r="51" spans="1:13" ht="15" customHeight="1">
      <c r="A51" s="68"/>
      <c r="B51" s="69" t="s">
        <v>40</v>
      </c>
      <c r="C51" s="69"/>
      <c r="D51" s="70">
        <f>'Step 2'!D51/12</f>
        <v>166.66666666666666</v>
      </c>
      <c r="E51" s="100">
        <f t="shared" si="1"/>
        <v>4.5172219085262569E-3</v>
      </c>
      <c r="F51" s="88"/>
      <c r="L51" s="138"/>
      <c r="M51" s="10"/>
    </row>
    <row r="52" spans="1:13" ht="15" customHeight="1">
      <c r="A52" s="68"/>
      <c r="B52" s="69" t="s">
        <v>100</v>
      </c>
      <c r="C52" s="69"/>
      <c r="D52" s="70">
        <f>'Step 2'!D52/12</f>
        <v>666.66666666666663</v>
      </c>
      <c r="E52" s="100">
        <f t="shared" si="1"/>
        <v>1.8068887634105028E-2</v>
      </c>
      <c r="F52" s="88"/>
      <c r="G52" s="9"/>
      <c r="H52" s="377"/>
      <c r="I52" s="356"/>
      <c r="J52" s="356"/>
      <c r="L52" s="140"/>
      <c r="M52" s="10"/>
    </row>
    <row r="53" spans="1:13" ht="15" customHeight="1">
      <c r="A53" s="68"/>
      <c r="B53" s="69" t="s">
        <v>161</v>
      </c>
      <c r="C53" s="69"/>
      <c r="D53" s="70">
        <f>'Step 2'!D53/12</f>
        <v>41.666666666666664</v>
      </c>
      <c r="E53" s="100">
        <f t="shared" si="1"/>
        <v>1.1293054771315642E-3</v>
      </c>
      <c r="F53" s="88"/>
      <c r="H53" s="356"/>
      <c r="I53" s="356"/>
      <c r="J53" s="356"/>
      <c r="K53" s="196"/>
      <c r="L53" s="140"/>
    </row>
    <row r="54" spans="1:13" ht="15" customHeight="1">
      <c r="A54" s="68"/>
      <c r="B54" s="69" t="s">
        <v>173</v>
      </c>
      <c r="C54" s="69"/>
      <c r="D54" s="70">
        <f>'Step 2'!D54/12</f>
        <v>41.666666666666664</v>
      </c>
      <c r="E54" s="100">
        <f t="shared" si="1"/>
        <v>1.1293054771315642E-3</v>
      </c>
      <c r="F54" s="88"/>
      <c r="H54" s="356"/>
      <c r="I54" s="356"/>
      <c r="J54" s="356"/>
      <c r="K54" s="240"/>
      <c r="L54" s="141"/>
      <c r="M54" s="10"/>
    </row>
    <row r="55" spans="1:13" ht="15" customHeight="1">
      <c r="A55" s="68"/>
      <c r="B55" s="144" t="s">
        <v>4</v>
      </c>
      <c r="C55" s="69"/>
      <c r="D55" s="70">
        <f>'Step 2'!D55/12</f>
        <v>166.66666666666666</v>
      </c>
      <c r="E55" s="100">
        <f t="shared" si="1"/>
        <v>4.5172219085262569E-3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0.35584415584415585</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204</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26025</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27275</v>
      </c>
      <c r="E14" s="71"/>
      <c r="F14" s="88"/>
      <c r="G14" s="9"/>
      <c r="H14" s="73"/>
      <c r="I14" s="89" t="s">
        <v>183</v>
      </c>
      <c r="J14" s="226">
        <v>21</v>
      </c>
    </row>
    <row r="15" spans="1:11" ht="15" customHeight="1" thickBot="1">
      <c r="A15" s="96"/>
      <c r="B15" s="96"/>
      <c r="C15" s="96"/>
      <c r="D15" s="72"/>
      <c r="E15" s="71"/>
      <c r="F15" s="88"/>
      <c r="G15" s="9"/>
      <c r="H15" s="93"/>
      <c r="I15" s="94" t="s">
        <v>125</v>
      </c>
      <c r="J15" s="95">
        <f>J14*J13*J12</f>
        <v>420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6.6674074897210807E-3</v>
      </c>
      <c r="F18" s="88"/>
      <c r="G18" s="9"/>
      <c r="H18" s="375" t="s">
        <v>56</v>
      </c>
      <c r="I18" s="381"/>
      <c r="J18" s="67"/>
    </row>
    <row r="19" spans="1:10" ht="15" customHeight="1">
      <c r="A19" s="68"/>
      <c r="B19" s="69" t="s">
        <v>198</v>
      </c>
      <c r="C19" s="69"/>
      <c r="D19" s="174">
        <f>J15*J11</f>
        <v>6300</v>
      </c>
      <c r="E19" s="100">
        <f t="shared" si="0"/>
        <v>0.16801866874097124</v>
      </c>
      <c r="F19" s="88"/>
      <c r="G19" s="9"/>
      <c r="H19" s="73"/>
      <c r="I19" s="101" t="s">
        <v>133</v>
      </c>
      <c r="J19" s="223">
        <f>'Step 2'!J19</f>
        <v>1</v>
      </c>
    </row>
    <row r="20" spans="1:10" ht="15" customHeight="1" thickBot="1">
      <c r="A20" s="68"/>
      <c r="B20" s="69" t="s">
        <v>44</v>
      </c>
      <c r="C20" s="69"/>
      <c r="D20" s="174">
        <f>'Step 2'!D20/12</f>
        <v>250</v>
      </c>
      <c r="E20" s="100">
        <f t="shared" si="0"/>
        <v>6.6674074897210807E-3</v>
      </c>
      <c r="F20" s="72"/>
      <c r="G20" s="9"/>
      <c r="H20" s="73"/>
      <c r="I20" s="103" t="s">
        <v>134</v>
      </c>
      <c r="J20" s="227">
        <f>'Step 2'!J20/12</f>
        <v>6500</v>
      </c>
    </row>
    <row r="21" spans="1:10" ht="15" customHeight="1" thickBot="1">
      <c r="A21" s="68"/>
      <c r="B21" s="69" t="s">
        <v>56</v>
      </c>
      <c r="C21" s="69"/>
      <c r="D21" s="174">
        <f>J31</f>
        <v>14333.333333333332</v>
      </c>
      <c r="E21" s="100">
        <f t="shared" si="0"/>
        <v>0.38226469607734193</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5.7339704411601293E-2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2.8892099122124683E-2</v>
      </c>
      <c r="F24" s="65"/>
      <c r="H24" s="73"/>
      <c r="I24" s="94" t="s">
        <v>114</v>
      </c>
      <c r="J24" s="245">
        <f>'Step 2'!J24/12</f>
        <v>2666.6666666666665</v>
      </c>
    </row>
    <row r="25" spans="1:10" ht="15" customHeight="1" thickTop="1">
      <c r="A25" s="68"/>
      <c r="B25" s="370" t="s">
        <v>45</v>
      </c>
      <c r="C25" s="371"/>
      <c r="D25" s="225">
        <f>SUM(D18:D24)</f>
        <v>24366.666666666664</v>
      </c>
      <c r="E25" s="111">
        <f t="shared" si="0"/>
        <v>0.64984998333148125</v>
      </c>
      <c r="F25" s="107"/>
      <c r="G25" s="9"/>
      <c r="H25" s="73"/>
      <c r="I25" s="112" t="s">
        <v>136</v>
      </c>
      <c r="J25" s="223">
        <f>'Step 2'!J25</f>
        <v>2</v>
      </c>
    </row>
    <row r="26" spans="1:10" ht="15" customHeight="1" thickBot="1">
      <c r="A26" s="86"/>
      <c r="B26" s="372" t="s">
        <v>61</v>
      </c>
      <c r="C26" s="346"/>
      <c r="D26" s="229">
        <f>D14-COGS</f>
        <v>2908.3333333333358</v>
      </c>
      <c r="E26" s="246"/>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0.17335259473274811</v>
      </c>
      <c r="F30" s="88"/>
      <c r="G30" s="9"/>
      <c r="H30" s="73"/>
      <c r="I30" s="94" t="s">
        <v>210</v>
      </c>
      <c r="J30" s="245">
        <f>'Step 2'!J30/12</f>
        <v>1500</v>
      </c>
    </row>
    <row r="31" spans="1:10" ht="15" customHeight="1" thickBot="1">
      <c r="A31" s="68"/>
      <c r="B31" s="69" t="s">
        <v>105</v>
      </c>
      <c r="C31" s="69"/>
      <c r="D31" s="70">
        <f>'Step 2'!D31/12</f>
        <v>975</v>
      </c>
      <c r="E31" s="100">
        <f t="shared" ref="E31:E60" si="1">D31/$J$46</f>
        <v>2.6002889209912217E-2</v>
      </c>
      <c r="F31" s="88"/>
      <c r="G31" s="9"/>
      <c r="H31" s="118"/>
      <c r="I31" s="247" t="s">
        <v>89</v>
      </c>
      <c r="J31" s="120">
        <f>J21+J24+J27+J30</f>
        <v>14333.333333333332</v>
      </c>
    </row>
    <row r="32" spans="1:10" ht="15" customHeight="1" thickBot="1">
      <c r="A32" s="68"/>
      <c r="B32" s="69" t="s">
        <v>33</v>
      </c>
      <c r="C32" s="69"/>
      <c r="D32" s="70">
        <f>'Step 2'!D32/12</f>
        <v>541.66666666666663</v>
      </c>
      <c r="E32" s="100">
        <f t="shared" si="1"/>
        <v>1.4446049561062341E-2</v>
      </c>
      <c r="F32" s="88"/>
      <c r="G32" s="9"/>
      <c r="H32" s="121" t="s">
        <v>148</v>
      </c>
      <c r="I32" s="232"/>
      <c r="J32" s="233"/>
    </row>
    <row r="33" spans="1:11" ht="15" customHeight="1">
      <c r="A33" s="68"/>
      <c r="B33" s="69" t="s">
        <v>13</v>
      </c>
      <c r="C33" s="69"/>
      <c r="D33" s="70">
        <f>'Step 2'!D33/12</f>
        <v>166.66666666666666</v>
      </c>
      <c r="E33" s="100">
        <f t="shared" si="1"/>
        <v>4.4449383264807208E-3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1.1112345816201802E-3</v>
      </c>
      <c r="F35" s="88"/>
      <c r="G35" s="9"/>
      <c r="H35" s="73"/>
      <c r="I35" s="94" t="s">
        <v>58</v>
      </c>
      <c r="J35" s="245">
        <f>'Step 2'!J35/12</f>
        <v>0</v>
      </c>
    </row>
    <row r="36" spans="1:11" ht="15" customHeight="1">
      <c r="A36" s="68"/>
      <c r="B36" s="69" t="s">
        <v>197</v>
      </c>
      <c r="C36" s="69"/>
      <c r="D36" s="70">
        <f>'Step 2'!D36/12</f>
        <v>208.33333333333334</v>
      </c>
      <c r="E36" s="100">
        <f t="shared" si="1"/>
        <v>5.5561729081009007E-3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2.2224691632403604E-4</v>
      </c>
      <c r="F38" s="88"/>
      <c r="G38" s="9"/>
      <c r="H38" s="73"/>
      <c r="I38" s="94" t="s">
        <v>99</v>
      </c>
      <c r="J38" s="245">
        <f>'Step 2'!J38/12</f>
        <v>3750</v>
      </c>
    </row>
    <row r="39" spans="1:11" ht="15" customHeight="1">
      <c r="A39" s="68"/>
      <c r="B39" s="69" t="s">
        <v>111</v>
      </c>
      <c r="C39" s="69"/>
      <c r="D39" s="70">
        <f>'Step 2'!D39/12</f>
        <v>62.5</v>
      </c>
      <c r="E39" s="100">
        <f t="shared" si="1"/>
        <v>1.6668518724302702E-3</v>
      </c>
      <c r="F39" s="88"/>
      <c r="G39" s="9"/>
      <c r="H39" s="73"/>
      <c r="I39" s="112" t="s">
        <v>34</v>
      </c>
      <c r="J39" s="223">
        <f>'Step 2'!J39</f>
        <v>1.5</v>
      </c>
    </row>
    <row r="40" spans="1:11" ht="15" customHeight="1" thickBot="1">
      <c r="A40" s="68"/>
      <c r="B40" s="69" t="s">
        <v>108</v>
      </c>
      <c r="C40" s="69"/>
      <c r="D40" s="70">
        <f>'Step 2'!D40/12</f>
        <v>83.333333333333329</v>
      </c>
      <c r="E40" s="100">
        <f t="shared" si="1"/>
        <v>2.2224691632403604E-3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4.4449383264807208E-3</v>
      </c>
      <c r="F42" s="74"/>
      <c r="G42" s="9"/>
      <c r="H42" s="68"/>
      <c r="I42" s="119" t="s">
        <v>149</v>
      </c>
      <c r="J42" s="248">
        <f>J35+J38+J41</f>
        <v>6500</v>
      </c>
    </row>
    <row r="43" spans="1:11" ht="15" customHeight="1" thickBot="1">
      <c r="A43" s="68"/>
      <c r="B43" s="69" t="s">
        <v>81</v>
      </c>
      <c r="C43" s="69"/>
      <c r="D43" s="70">
        <f>'Step 2'!D43/12</f>
        <v>125</v>
      </c>
      <c r="E43" s="100">
        <f t="shared" si="1"/>
        <v>3.3337037448605404E-3</v>
      </c>
      <c r="F43" s="69"/>
      <c r="G43" s="127"/>
      <c r="H43" s="93"/>
      <c r="I43" s="236" t="s">
        <v>181</v>
      </c>
      <c r="J43" s="237">
        <f>J31+J42</f>
        <v>20833.333333333332</v>
      </c>
    </row>
    <row r="44" spans="1:11" ht="15" customHeight="1">
      <c r="A44" s="68"/>
      <c r="B44" s="69" t="s">
        <v>90</v>
      </c>
      <c r="C44" s="69"/>
      <c r="D44" s="70">
        <f>'Step 2'!D44/12</f>
        <v>41.666666666666664</v>
      </c>
      <c r="E44" s="100">
        <f t="shared" si="1"/>
        <v>1.1112345816201802E-3</v>
      </c>
      <c r="F44" s="88"/>
      <c r="G44" s="130"/>
    </row>
    <row r="45" spans="1:11" ht="15" customHeight="1">
      <c r="A45" s="68"/>
      <c r="B45" s="69" t="s">
        <v>25</v>
      </c>
      <c r="C45" s="69"/>
      <c r="D45" s="70">
        <f>'Step 2'!D45/12</f>
        <v>166.66666666666666</v>
      </c>
      <c r="E45" s="100">
        <f t="shared" si="1"/>
        <v>4.4449383264807208E-3</v>
      </c>
      <c r="F45" s="88"/>
      <c r="G45" s="9"/>
    </row>
    <row r="46" spans="1:11" ht="15" customHeight="1">
      <c r="A46" s="68"/>
      <c r="B46" s="69" t="s">
        <v>26</v>
      </c>
      <c r="C46" s="69"/>
      <c r="D46" s="70">
        <f>'Step 2'!D46/12</f>
        <v>41.666666666666664</v>
      </c>
      <c r="E46" s="100">
        <f t="shared" si="1"/>
        <v>1.1112345816201802E-3</v>
      </c>
      <c r="F46" s="88"/>
      <c r="I46" s="131" t="s">
        <v>117</v>
      </c>
      <c r="J46" s="132">
        <f>SUM(D25,D60)</f>
        <v>37495.833333333328</v>
      </c>
      <c r="K46" s="133">
        <f>E60+E25</f>
        <v>1</v>
      </c>
    </row>
    <row r="47" spans="1:11" ht="15" customHeight="1">
      <c r="A47" s="68"/>
      <c r="B47" s="69" t="s">
        <v>225</v>
      </c>
      <c r="C47" s="69"/>
      <c r="D47" s="70">
        <f>'Step 2'!D47/12</f>
        <v>166.66666666666666</v>
      </c>
      <c r="E47" s="100">
        <f t="shared" si="1"/>
        <v>4.4449383264807208E-3</v>
      </c>
      <c r="F47" s="88"/>
      <c r="G47" s="142"/>
      <c r="I47" s="238"/>
      <c r="J47" s="239"/>
      <c r="K47" s="153"/>
    </row>
    <row r="48" spans="1:11" ht="15" customHeight="1">
      <c r="A48" s="68"/>
      <c r="B48" s="69" t="s">
        <v>5</v>
      </c>
      <c r="C48" s="69"/>
      <c r="D48" s="70">
        <f>'Step 2'!D48/12</f>
        <v>583.33333333333337</v>
      </c>
      <c r="E48" s="100">
        <f t="shared" si="1"/>
        <v>1.5557284142682523E-2</v>
      </c>
      <c r="F48" s="88"/>
      <c r="G48" s="142"/>
      <c r="I48" s="135" t="s">
        <v>174</v>
      </c>
      <c r="J48" s="136">
        <f>(D26-D60)</f>
        <v>-10220.83333333333</v>
      </c>
      <c r="K48" s="153"/>
    </row>
    <row r="49" spans="1:13" ht="15" customHeight="1">
      <c r="A49" s="68"/>
      <c r="B49" s="69" t="s">
        <v>154</v>
      </c>
      <c r="C49" s="69"/>
      <c r="D49" s="70">
        <f>'Step 2'!D49/12</f>
        <v>166.66666666666666</v>
      </c>
      <c r="E49" s="100">
        <f t="shared" si="1"/>
        <v>4.4449383264807208E-3</v>
      </c>
      <c r="F49" s="88"/>
      <c r="G49" s="142"/>
      <c r="K49" s="137"/>
      <c r="L49" s="138"/>
      <c r="M49" s="10"/>
    </row>
    <row r="50" spans="1:13" ht="15" customHeight="1">
      <c r="A50" s="68"/>
      <c r="B50" s="69" t="s">
        <v>66</v>
      </c>
      <c r="C50" s="69"/>
      <c r="D50" s="70">
        <f>'Step 2'!D50/12</f>
        <v>2000</v>
      </c>
      <c r="E50" s="100">
        <f t="shared" si="1"/>
        <v>5.3339259917768646E-2</v>
      </c>
      <c r="F50" s="88"/>
      <c r="G50" s="9"/>
      <c r="K50" s="137"/>
      <c r="L50" s="139"/>
      <c r="M50" s="110"/>
    </row>
    <row r="51" spans="1:13" ht="15" customHeight="1">
      <c r="A51" s="68"/>
      <c r="B51" s="69" t="s">
        <v>40</v>
      </c>
      <c r="C51" s="69"/>
      <c r="D51" s="70">
        <f>'Step 2'!D51/12</f>
        <v>166.66666666666666</v>
      </c>
      <c r="E51" s="100">
        <f t="shared" si="1"/>
        <v>4.4449383264807208E-3</v>
      </c>
      <c r="F51" s="88"/>
      <c r="L51" s="138"/>
      <c r="M51" s="10"/>
    </row>
    <row r="52" spans="1:13" ht="15" customHeight="1">
      <c r="A52" s="68"/>
      <c r="B52" s="69" t="s">
        <v>100</v>
      </c>
      <c r="C52" s="69"/>
      <c r="D52" s="70">
        <f>'Step 2'!D52/12</f>
        <v>666.66666666666663</v>
      </c>
      <c r="E52" s="100">
        <f t="shared" si="1"/>
        <v>1.7779753305922883E-2</v>
      </c>
      <c r="F52" s="88"/>
      <c r="G52" s="9"/>
      <c r="H52" s="377"/>
      <c r="I52" s="356"/>
      <c r="J52" s="356"/>
      <c r="L52" s="140"/>
      <c r="M52" s="10"/>
    </row>
    <row r="53" spans="1:13" ht="15" customHeight="1">
      <c r="A53" s="68"/>
      <c r="B53" s="69" t="s">
        <v>161</v>
      </c>
      <c r="C53" s="69"/>
      <c r="D53" s="70">
        <f>'Step 2'!D53/12</f>
        <v>41.666666666666664</v>
      </c>
      <c r="E53" s="100">
        <f t="shared" si="1"/>
        <v>1.1112345816201802E-3</v>
      </c>
      <c r="F53" s="88"/>
      <c r="H53" s="356"/>
      <c r="I53" s="356"/>
      <c r="J53" s="356"/>
      <c r="K53" s="196"/>
      <c r="L53" s="140"/>
    </row>
    <row r="54" spans="1:13" ht="15" customHeight="1">
      <c r="A54" s="68"/>
      <c r="B54" s="69" t="s">
        <v>6</v>
      </c>
      <c r="C54" s="69"/>
      <c r="D54" s="70">
        <f>'Step 2'!D54/12</f>
        <v>41.666666666666664</v>
      </c>
      <c r="E54" s="100">
        <f t="shared" si="1"/>
        <v>1.1112345816201802E-3</v>
      </c>
      <c r="F54" s="88"/>
      <c r="H54" s="356"/>
      <c r="I54" s="356"/>
      <c r="J54" s="356"/>
      <c r="K54" s="240"/>
      <c r="L54" s="141"/>
      <c r="M54" s="10"/>
    </row>
    <row r="55" spans="1:13" ht="15" customHeight="1">
      <c r="A55" s="68"/>
      <c r="B55" s="144" t="s">
        <v>101</v>
      </c>
      <c r="C55" s="69"/>
      <c r="D55" s="70">
        <f>'Step 2'!D55/12</f>
        <v>166.66666666666666</v>
      </c>
      <c r="E55" s="100">
        <f t="shared" si="1"/>
        <v>4.4449383264807208E-3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0.35015001666851875</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139</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28503.571428571428</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29753.571428571428</v>
      </c>
      <c r="E14" s="71"/>
      <c r="F14" s="88"/>
      <c r="G14" s="9"/>
      <c r="H14" s="73"/>
      <c r="I14" s="89" t="s">
        <v>171</v>
      </c>
      <c r="J14" s="226">
        <v>23</v>
      </c>
    </row>
    <row r="15" spans="1:11" ht="15" customHeight="1" thickBot="1">
      <c r="A15" s="96"/>
      <c r="B15" s="96"/>
      <c r="C15" s="96"/>
      <c r="D15" s="72"/>
      <c r="E15" s="71"/>
      <c r="F15" s="88"/>
      <c r="G15" s="9"/>
      <c r="H15" s="93"/>
      <c r="I15" s="94" t="s">
        <v>125</v>
      </c>
      <c r="J15" s="95">
        <f>J14*J13*J12</f>
        <v>460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6.5623974625396483E-3</v>
      </c>
      <c r="F18" s="88"/>
      <c r="G18" s="9"/>
      <c r="H18" s="375" t="s">
        <v>56</v>
      </c>
      <c r="I18" s="381"/>
      <c r="J18" s="67"/>
    </row>
    <row r="19" spans="1:10" ht="15" customHeight="1">
      <c r="A19" s="68"/>
      <c r="B19" s="69" t="s">
        <v>198</v>
      </c>
      <c r="C19" s="69"/>
      <c r="D19" s="174">
        <f>J15*J11</f>
        <v>6900</v>
      </c>
      <c r="E19" s="100">
        <f t="shared" si="0"/>
        <v>0.18112216996609432</v>
      </c>
      <c r="F19" s="88"/>
      <c r="G19" s="9"/>
      <c r="H19" s="73"/>
      <c r="I19" s="101" t="s">
        <v>133</v>
      </c>
      <c r="J19" s="223">
        <f>'Step 2'!J19</f>
        <v>1</v>
      </c>
    </row>
    <row r="20" spans="1:10" ht="15" customHeight="1" thickBot="1">
      <c r="A20" s="68"/>
      <c r="B20" s="69" t="s">
        <v>44</v>
      </c>
      <c r="C20" s="69"/>
      <c r="D20" s="174">
        <f>'Step 2'!D20/12</f>
        <v>250</v>
      </c>
      <c r="E20" s="100">
        <f t="shared" si="0"/>
        <v>6.5623974625396483E-3</v>
      </c>
      <c r="F20" s="72"/>
      <c r="G20" s="9"/>
      <c r="H20" s="73"/>
      <c r="I20" s="103" t="s">
        <v>134</v>
      </c>
      <c r="J20" s="227">
        <f>'Step 2'!J20/12</f>
        <v>6500</v>
      </c>
    </row>
    <row r="21" spans="1:10" ht="15" customHeight="1" thickBot="1">
      <c r="A21" s="68"/>
      <c r="B21" s="69" t="s">
        <v>56</v>
      </c>
      <c r="C21" s="69"/>
      <c r="D21" s="174">
        <f>J31</f>
        <v>14333.333333333332</v>
      </c>
      <c r="E21" s="100">
        <f t="shared" si="0"/>
        <v>0.37624412118560652</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5.6436618177840979E-2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2.8437055671005143E-2</v>
      </c>
      <c r="F24" s="65"/>
      <c r="H24" s="73"/>
      <c r="I24" s="94" t="s">
        <v>114</v>
      </c>
      <c r="J24" s="245">
        <f>'Step 2'!J24/12</f>
        <v>2666.6666666666665</v>
      </c>
    </row>
    <row r="25" spans="1:10" ht="15" customHeight="1" thickTop="1">
      <c r="A25" s="68"/>
      <c r="B25" s="370" t="s">
        <v>45</v>
      </c>
      <c r="C25" s="371"/>
      <c r="D25" s="225">
        <f>SUM(D18:D24)</f>
        <v>24966.666666666664</v>
      </c>
      <c r="E25" s="111">
        <f t="shared" si="0"/>
        <v>0.65536475992562615</v>
      </c>
      <c r="F25" s="107"/>
      <c r="G25" s="9"/>
      <c r="H25" s="73"/>
      <c r="I25" s="112" t="s">
        <v>136</v>
      </c>
      <c r="J25" s="223">
        <f>'Step 2'!J25</f>
        <v>2</v>
      </c>
    </row>
    <row r="26" spans="1:10" ht="15" customHeight="1" thickBot="1">
      <c r="A26" s="86"/>
      <c r="B26" s="372" t="s">
        <v>61</v>
      </c>
      <c r="C26" s="346"/>
      <c r="D26" s="229">
        <f>D14-COGS</f>
        <v>4786.9047619047633</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0.17062233402603086</v>
      </c>
      <c r="F30" s="88"/>
      <c r="G30" s="9"/>
      <c r="H30" s="73"/>
      <c r="I30" s="94" t="s">
        <v>210</v>
      </c>
      <c r="J30" s="245">
        <f>'Step 2'!J30/12</f>
        <v>1500</v>
      </c>
    </row>
    <row r="31" spans="1:10" ht="15" customHeight="1" thickBot="1">
      <c r="A31" s="68"/>
      <c r="B31" s="69" t="s">
        <v>105</v>
      </c>
      <c r="C31" s="69"/>
      <c r="D31" s="70">
        <f>'Step 2'!D31/12</f>
        <v>975</v>
      </c>
      <c r="E31" s="100">
        <f t="shared" ref="E31:E60" si="1">D31/$J$46</f>
        <v>2.5593350103904629E-2</v>
      </c>
      <c r="F31" s="88"/>
      <c r="G31" s="9"/>
      <c r="H31" s="118"/>
      <c r="I31" s="247" t="s">
        <v>89</v>
      </c>
      <c r="J31" s="120">
        <f>J21+J24+J27+J30</f>
        <v>14333.333333333332</v>
      </c>
    </row>
    <row r="32" spans="1:10" ht="15" customHeight="1" thickBot="1">
      <c r="A32" s="68"/>
      <c r="B32" s="69" t="s">
        <v>33</v>
      </c>
      <c r="C32" s="69"/>
      <c r="D32" s="70">
        <f>'Step 2'!D32/12</f>
        <v>541.66666666666663</v>
      </c>
      <c r="E32" s="100">
        <f t="shared" si="1"/>
        <v>1.4218527835502572E-2</v>
      </c>
      <c r="F32" s="88"/>
      <c r="G32" s="9"/>
      <c r="H32" s="121" t="s">
        <v>148</v>
      </c>
      <c r="I32" s="232"/>
      <c r="J32" s="233"/>
    </row>
    <row r="33" spans="1:11" ht="15" customHeight="1">
      <c r="A33" s="68"/>
      <c r="B33" s="69" t="s">
        <v>13</v>
      </c>
      <c r="C33" s="69"/>
      <c r="D33" s="70">
        <f>'Step 2'!D33/12</f>
        <v>166.66666666666666</v>
      </c>
      <c r="E33" s="100">
        <f t="shared" si="1"/>
        <v>4.3749316416930991E-3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1.0937329104232748E-3</v>
      </c>
      <c r="F35" s="88"/>
      <c r="G35" s="9"/>
      <c r="H35" s="73"/>
      <c r="I35" s="94" t="s">
        <v>58</v>
      </c>
      <c r="J35" s="245">
        <f>'Step 2'!J35/12</f>
        <v>0</v>
      </c>
    </row>
    <row r="36" spans="1:11" ht="15" customHeight="1">
      <c r="A36" s="68"/>
      <c r="B36" s="69" t="s">
        <v>197</v>
      </c>
      <c r="C36" s="69"/>
      <c r="D36" s="70">
        <f>'Step 2'!D36/12</f>
        <v>208.33333333333334</v>
      </c>
      <c r="E36" s="100">
        <f t="shared" si="1"/>
        <v>5.4686645521163741E-3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2.1874658208465497E-4</v>
      </c>
      <c r="F38" s="88"/>
      <c r="G38" s="9"/>
      <c r="H38" s="73"/>
      <c r="I38" s="94" t="s">
        <v>99</v>
      </c>
      <c r="J38" s="245">
        <f>'Step 2'!J38/12</f>
        <v>3750</v>
      </c>
    </row>
    <row r="39" spans="1:11" ht="15" customHeight="1">
      <c r="A39" s="68"/>
      <c r="B39" s="69" t="s">
        <v>111</v>
      </c>
      <c r="C39" s="69"/>
      <c r="D39" s="70">
        <f>'Step 2'!D39/12</f>
        <v>62.5</v>
      </c>
      <c r="E39" s="100">
        <f t="shared" si="1"/>
        <v>1.6405993656349121E-3</v>
      </c>
      <c r="F39" s="88"/>
      <c r="G39" s="9"/>
      <c r="H39" s="73"/>
      <c r="I39" s="112" t="s">
        <v>34</v>
      </c>
      <c r="J39" s="223">
        <f>'Step 2'!J39</f>
        <v>1.5</v>
      </c>
    </row>
    <row r="40" spans="1:11" ht="15" customHeight="1" thickBot="1">
      <c r="A40" s="68"/>
      <c r="B40" s="69" t="s">
        <v>108</v>
      </c>
      <c r="C40" s="69"/>
      <c r="D40" s="70">
        <f>'Step 2'!D40/12</f>
        <v>83.333333333333329</v>
      </c>
      <c r="E40" s="100">
        <f t="shared" si="1"/>
        <v>2.1874658208465496E-3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4.3749316416930991E-3</v>
      </c>
      <c r="F42" s="74"/>
      <c r="G42" s="9"/>
      <c r="H42" s="68"/>
      <c r="I42" s="119" t="s">
        <v>149</v>
      </c>
      <c r="J42" s="248">
        <f>J35+J38+J41</f>
        <v>6500</v>
      </c>
    </row>
    <row r="43" spans="1:11" ht="15" customHeight="1" thickBot="1">
      <c r="A43" s="68"/>
      <c r="B43" s="69" t="s">
        <v>81</v>
      </c>
      <c r="C43" s="69"/>
      <c r="D43" s="70">
        <f>'Step 2'!D43/12</f>
        <v>125</v>
      </c>
      <c r="E43" s="100">
        <f t="shared" si="1"/>
        <v>3.2811987312698241E-3</v>
      </c>
      <c r="F43" s="69"/>
      <c r="G43" s="127"/>
      <c r="H43" s="93"/>
      <c r="I43" s="236" t="s">
        <v>181</v>
      </c>
      <c r="J43" s="237">
        <f>J31+J42</f>
        <v>20833.333333333332</v>
      </c>
    </row>
    <row r="44" spans="1:11" ht="15" customHeight="1">
      <c r="A44" s="68"/>
      <c r="B44" s="69" t="s">
        <v>90</v>
      </c>
      <c r="C44" s="69"/>
      <c r="D44" s="70">
        <f>'Step 2'!D44/12</f>
        <v>41.666666666666664</v>
      </c>
      <c r="E44" s="100">
        <f t="shared" si="1"/>
        <v>1.0937329104232748E-3</v>
      </c>
      <c r="F44" s="88"/>
      <c r="G44" s="130"/>
    </row>
    <row r="45" spans="1:11" ht="15" customHeight="1">
      <c r="A45" s="68"/>
      <c r="B45" s="69" t="s">
        <v>25</v>
      </c>
      <c r="C45" s="69"/>
      <c r="D45" s="70">
        <f>'Step 2'!D45/12</f>
        <v>166.66666666666666</v>
      </c>
      <c r="E45" s="100">
        <f t="shared" si="1"/>
        <v>4.3749316416930991E-3</v>
      </c>
      <c r="F45" s="88"/>
      <c r="G45" s="9"/>
    </row>
    <row r="46" spans="1:11" ht="15" customHeight="1">
      <c r="A46" s="68"/>
      <c r="B46" s="69" t="s">
        <v>26</v>
      </c>
      <c r="C46" s="69"/>
      <c r="D46" s="70">
        <f>'Step 2'!D46/12</f>
        <v>41.666666666666664</v>
      </c>
      <c r="E46" s="100">
        <f t="shared" si="1"/>
        <v>1.0937329104232748E-3</v>
      </c>
      <c r="F46" s="88"/>
      <c r="I46" s="131" t="s">
        <v>117</v>
      </c>
      <c r="J46" s="132">
        <f>SUM(D25,D60)</f>
        <v>38095.833333333328</v>
      </c>
      <c r="K46" s="133">
        <f>E60+E25</f>
        <v>1</v>
      </c>
    </row>
    <row r="47" spans="1:11" ht="15" customHeight="1">
      <c r="A47" s="68"/>
      <c r="B47" s="69" t="s">
        <v>225</v>
      </c>
      <c r="C47" s="69"/>
      <c r="D47" s="70">
        <f>'Step 2'!D47/12</f>
        <v>166.66666666666666</v>
      </c>
      <c r="E47" s="100">
        <f t="shared" si="1"/>
        <v>4.3749316416930991E-3</v>
      </c>
      <c r="F47" s="88"/>
      <c r="G47" s="142"/>
      <c r="I47" s="238"/>
      <c r="J47" s="239"/>
      <c r="K47" s="153"/>
    </row>
    <row r="48" spans="1:11" ht="15" customHeight="1">
      <c r="A48" s="68"/>
      <c r="B48" s="69" t="s">
        <v>5</v>
      </c>
      <c r="C48" s="69"/>
      <c r="D48" s="70">
        <f>'Step 2'!D48/12</f>
        <v>583.33333333333337</v>
      </c>
      <c r="E48" s="100">
        <f t="shared" si="1"/>
        <v>1.5312260745925848E-2</v>
      </c>
      <c r="F48" s="88"/>
      <c r="G48" s="142"/>
      <c r="I48" s="135" t="s">
        <v>174</v>
      </c>
      <c r="J48" s="136">
        <f>(D26-D60)</f>
        <v>-8342.2619047619028</v>
      </c>
      <c r="K48" s="153"/>
    </row>
    <row r="49" spans="1:13" ht="15" customHeight="1">
      <c r="A49" s="68"/>
      <c r="B49" s="69" t="s">
        <v>154</v>
      </c>
      <c r="C49" s="69"/>
      <c r="D49" s="70">
        <f>'Step 2'!D49/12</f>
        <v>166.66666666666666</v>
      </c>
      <c r="E49" s="100">
        <f t="shared" si="1"/>
        <v>4.3749316416930991E-3</v>
      </c>
      <c r="F49" s="88"/>
      <c r="G49" s="142"/>
      <c r="K49" s="137"/>
      <c r="L49" s="138"/>
      <c r="M49" s="10"/>
    </row>
    <row r="50" spans="1:13" ht="15" customHeight="1">
      <c r="A50" s="68"/>
      <c r="B50" s="69" t="s">
        <v>66</v>
      </c>
      <c r="C50" s="69"/>
      <c r="D50" s="70">
        <f>'Step 2'!D50/12</f>
        <v>2000</v>
      </c>
      <c r="E50" s="100">
        <f t="shared" si="1"/>
        <v>5.2499179700317186E-2</v>
      </c>
      <c r="F50" s="88"/>
      <c r="G50" s="9"/>
      <c r="K50" s="137"/>
      <c r="L50" s="139"/>
      <c r="M50" s="110"/>
    </row>
    <row r="51" spans="1:13" ht="15" customHeight="1">
      <c r="A51" s="68"/>
      <c r="B51" s="69" t="s">
        <v>40</v>
      </c>
      <c r="C51" s="69"/>
      <c r="D51" s="70">
        <f>'Step 2'!D51/12</f>
        <v>166.66666666666666</v>
      </c>
      <c r="E51" s="100">
        <f t="shared" si="1"/>
        <v>4.3749316416930991E-3</v>
      </c>
      <c r="F51" s="88"/>
      <c r="L51" s="138"/>
      <c r="M51" s="10"/>
    </row>
    <row r="52" spans="1:13" ht="15" customHeight="1">
      <c r="A52" s="68"/>
      <c r="B52" s="69" t="s">
        <v>100</v>
      </c>
      <c r="C52" s="69"/>
      <c r="D52" s="70">
        <f>'Step 2'!D52/12</f>
        <v>666.66666666666663</v>
      </c>
      <c r="E52" s="100">
        <f t="shared" si="1"/>
        <v>1.7499726566772397E-2</v>
      </c>
      <c r="F52" s="88"/>
      <c r="G52" s="9"/>
      <c r="H52" s="377"/>
      <c r="I52" s="356"/>
      <c r="J52" s="356"/>
      <c r="L52" s="140"/>
      <c r="M52" s="10"/>
    </row>
    <row r="53" spans="1:13" ht="15" customHeight="1">
      <c r="A53" s="68"/>
      <c r="B53" s="69" t="s">
        <v>161</v>
      </c>
      <c r="C53" s="69"/>
      <c r="D53" s="70">
        <f>'Step 2'!D53/12</f>
        <v>41.666666666666664</v>
      </c>
      <c r="E53" s="100">
        <f t="shared" si="1"/>
        <v>1.0937329104232748E-3</v>
      </c>
      <c r="F53" s="88"/>
      <c r="H53" s="356"/>
      <c r="I53" s="356"/>
      <c r="J53" s="356"/>
      <c r="K53" s="196"/>
      <c r="L53" s="140"/>
    </row>
    <row r="54" spans="1:13" ht="15" customHeight="1">
      <c r="A54" s="68"/>
      <c r="B54" s="69" t="s">
        <v>173</v>
      </c>
      <c r="C54" s="69"/>
      <c r="D54" s="70">
        <f>'Step 2'!D54/12</f>
        <v>41.666666666666664</v>
      </c>
      <c r="E54" s="100">
        <f t="shared" si="1"/>
        <v>1.0937329104232748E-3</v>
      </c>
      <c r="F54" s="88"/>
      <c r="H54" s="356"/>
      <c r="I54" s="356"/>
      <c r="J54" s="356"/>
      <c r="K54" s="240"/>
      <c r="L54" s="141"/>
      <c r="M54" s="10"/>
    </row>
    <row r="55" spans="1:13" ht="15" customHeight="1">
      <c r="A55" s="68"/>
      <c r="B55" s="144" t="s">
        <v>101</v>
      </c>
      <c r="C55" s="69"/>
      <c r="D55" s="70">
        <f>'Step 2'!D55/12</f>
        <v>166.66666666666666</v>
      </c>
      <c r="E55" s="100">
        <f t="shared" si="1"/>
        <v>4.3749316416930991E-3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0.34463524007437385</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140</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30982.142857142859</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32232.142857142859</v>
      </c>
      <c r="E14" s="71"/>
      <c r="F14" s="88"/>
      <c r="G14" s="9"/>
      <c r="H14" s="73"/>
      <c r="I14" s="89" t="s">
        <v>171</v>
      </c>
      <c r="J14" s="226">
        <v>25</v>
      </c>
    </row>
    <row r="15" spans="1:11" ht="15" customHeight="1" thickBot="1">
      <c r="A15" s="96"/>
      <c r="B15" s="96"/>
      <c r="C15" s="96"/>
      <c r="D15" s="72"/>
      <c r="E15" s="71"/>
      <c r="F15" s="88"/>
      <c r="G15" s="9"/>
      <c r="H15" s="93"/>
      <c r="I15" s="94" t="s">
        <v>125</v>
      </c>
      <c r="J15" s="95">
        <f>J14*J13*J12</f>
        <v>500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6.4606439108431148E-3</v>
      </c>
      <c r="F18" s="88"/>
      <c r="G18" s="9"/>
      <c r="H18" s="375" t="s">
        <v>56</v>
      </c>
      <c r="I18" s="381"/>
      <c r="J18" s="67"/>
    </row>
    <row r="19" spans="1:10" ht="15" customHeight="1">
      <c r="A19" s="68"/>
      <c r="B19" s="69" t="s">
        <v>198</v>
      </c>
      <c r="C19" s="69"/>
      <c r="D19" s="174">
        <f>J15*J11</f>
        <v>7500</v>
      </c>
      <c r="E19" s="100">
        <f t="shared" si="0"/>
        <v>0.19381931732529345</v>
      </c>
      <c r="F19" s="88"/>
      <c r="G19" s="9"/>
      <c r="H19" s="73"/>
      <c r="I19" s="101" t="s">
        <v>133</v>
      </c>
      <c r="J19" s="223">
        <f>'Step 2'!J19</f>
        <v>1</v>
      </c>
    </row>
    <row r="20" spans="1:10" ht="15" customHeight="1" thickBot="1">
      <c r="A20" s="68"/>
      <c r="B20" s="69" t="s">
        <v>44</v>
      </c>
      <c r="C20" s="69"/>
      <c r="D20" s="174">
        <f>'Step 2'!D20/12</f>
        <v>250</v>
      </c>
      <c r="E20" s="100">
        <f t="shared" si="0"/>
        <v>6.4606439108431148E-3</v>
      </c>
      <c r="F20" s="72"/>
      <c r="G20" s="9"/>
      <c r="H20" s="73"/>
      <c r="I20" s="103" t="s">
        <v>134</v>
      </c>
      <c r="J20" s="227">
        <f>'Step 2'!J20/12</f>
        <v>6500</v>
      </c>
    </row>
    <row r="21" spans="1:10" ht="15" customHeight="1" thickBot="1">
      <c r="A21" s="68"/>
      <c r="B21" s="69" t="s">
        <v>56</v>
      </c>
      <c r="C21" s="69"/>
      <c r="D21" s="174">
        <f>J31</f>
        <v>14333.333333333332</v>
      </c>
      <c r="E21" s="100">
        <f t="shared" si="0"/>
        <v>0.37041025088833857</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5.5561537633250786E-2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2.7996123613653497E-2</v>
      </c>
      <c r="F24" s="65"/>
      <c r="H24" s="73"/>
      <c r="I24" s="94" t="s">
        <v>114</v>
      </c>
      <c r="J24" s="245">
        <f>'Step 2'!J24/12</f>
        <v>2666.6666666666665</v>
      </c>
    </row>
    <row r="25" spans="1:10" ht="15" customHeight="1" thickTop="1">
      <c r="A25" s="68"/>
      <c r="B25" s="370" t="s">
        <v>45</v>
      </c>
      <c r="C25" s="371"/>
      <c r="D25" s="225">
        <f>SUM(D18:D24)</f>
        <v>25566.666666666664</v>
      </c>
      <c r="E25" s="111">
        <f t="shared" si="0"/>
        <v>0.66070851728222246</v>
      </c>
      <c r="F25" s="107"/>
      <c r="G25" s="9"/>
      <c r="H25" s="73"/>
      <c r="I25" s="112" t="s">
        <v>136</v>
      </c>
      <c r="J25" s="223">
        <f>'Step 2'!J25</f>
        <v>2</v>
      </c>
    </row>
    <row r="26" spans="1:10" ht="15" customHeight="1" thickBot="1">
      <c r="A26" s="86"/>
      <c r="B26" s="372" t="s">
        <v>61</v>
      </c>
      <c r="C26" s="346"/>
      <c r="D26" s="229">
        <f>D14-COGS</f>
        <v>6665.4761904761945</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0.16797674168192098</v>
      </c>
      <c r="F30" s="88"/>
      <c r="G30" s="9"/>
      <c r="H30" s="73"/>
      <c r="I30" s="94" t="s">
        <v>210</v>
      </c>
      <c r="J30" s="245">
        <f>'Step 2'!J30/12</f>
        <v>1500</v>
      </c>
    </row>
    <row r="31" spans="1:10" ht="15" customHeight="1" thickBot="1">
      <c r="A31" s="68"/>
      <c r="B31" s="69" t="s">
        <v>105</v>
      </c>
      <c r="C31" s="69"/>
      <c r="D31" s="70">
        <f>'Step 2'!D31/12</f>
        <v>975</v>
      </c>
      <c r="E31" s="100">
        <f t="shared" ref="E31:E60" si="1">D31/$J$46</f>
        <v>2.5196511252288147E-2</v>
      </c>
      <c r="F31" s="88"/>
      <c r="G31" s="9"/>
      <c r="H31" s="118"/>
      <c r="I31" s="247" t="s">
        <v>89</v>
      </c>
      <c r="J31" s="120">
        <f>J21+J24+J27+J30</f>
        <v>14333.333333333332</v>
      </c>
    </row>
    <row r="32" spans="1:10" ht="15" customHeight="1" thickBot="1">
      <c r="A32" s="68"/>
      <c r="B32" s="69" t="s">
        <v>33</v>
      </c>
      <c r="C32" s="69"/>
      <c r="D32" s="70">
        <f>'Step 2'!D32/12</f>
        <v>541.66666666666663</v>
      </c>
      <c r="E32" s="100">
        <f t="shared" si="1"/>
        <v>1.3998061806826749E-2</v>
      </c>
      <c r="F32" s="88"/>
      <c r="G32" s="9"/>
      <c r="H32" s="121" t="s">
        <v>148</v>
      </c>
      <c r="I32" s="232"/>
      <c r="J32" s="233"/>
    </row>
    <row r="33" spans="1:11" ht="15" customHeight="1">
      <c r="A33" s="68"/>
      <c r="B33" s="69" t="s">
        <v>13</v>
      </c>
      <c r="C33" s="69"/>
      <c r="D33" s="70">
        <f>'Step 2'!D33/12</f>
        <v>166.66666666666666</v>
      </c>
      <c r="E33" s="100">
        <f t="shared" si="1"/>
        <v>4.3070959405620765E-3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1.0767739851405191E-3</v>
      </c>
      <c r="F35" s="88"/>
      <c r="G35" s="9"/>
      <c r="H35" s="73"/>
      <c r="I35" s="94" t="s">
        <v>58</v>
      </c>
      <c r="J35" s="245">
        <f>'Step 2'!J35/12</f>
        <v>0</v>
      </c>
    </row>
    <row r="36" spans="1:11" ht="15" customHeight="1">
      <c r="A36" s="68"/>
      <c r="B36" s="69" t="s">
        <v>197</v>
      </c>
      <c r="C36" s="69"/>
      <c r="D36" s="70">
        <f>'Step 2'!D36/12</f>
        <v>208.33333333333334</v>
      </c>
      <c r="E36" s="100">
        <f t="shared" si="1"/>
        <v>5.3838699257025956E-3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2.1535479702810385E-4</v>
      </c>
      <c r="F38" s="88"/>
      <c r="G38" s="9"/>
      <c r="H38" s="73"/>
      <c r="I38" s="94" t="s">
        <v>99</v>
      </c>
      <c r="J38" s="245">
        <f>'Step 2'!J38/12</f>
        <v>3750</v>
      </c>
    </row>
    <row r="39" spans="1:11" ht="15" customHeight="1">
      <c r="A39" s="68"/>
      <c r="B39" s="69" t="s">
        <v>111</v>
      </c>
      <c r="C39" s="69"/>
      <c r="D39" s="70">
        <f>'Step 2'!D39/12</f>
        <v>62.5</v>
      </c>
      <c r="E39" s="100">
        <f t="shared" si="1"/>
        <v>1.6151609777107787E-3</v>
      </c>
      <c r="F39" s="88"/>
      <c r="G39" s="9"/>
      <c r="H39" s="73"/>
      <c r="I39" s="112" t="s">
        <v>34</v>
      </c>
      <c r="J39" s="223">
        <f>'Step 2'!J39</f>
        <v>1.5</v>
      </c>
    </row>
    <row r="40" spans="1:11" ht="15" customHeight="1" thickBot="1">
      <c r="A40" s="68"/>
      <c r="B40" s="69" t="s">
        <v>108</v>
      </c>
      <c r="C40" s="69"/>
      <c r="D40" s="70">
        <f>'Step 2'!D40/12</f>
        <v>83.333333333333329</v>
      </c>
      <c r="E40" s="100">
        <f t="shared" si="1"/>
        <v>2.1535479702810383E-3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4.3070959405620765E-3</v>
      </c>
      <c r="F42" s="74"/>
      <c r="G42" s="9"/>
      <c r="H42" s="68"/>
      <c r="I42" s="119" t="s">
        <v>149</v>
      </c>
      <c r="J42" s="248">
        <f>J35+J38+J41</f>
        <v>6500</v>
      </c>
    </row>
    <row r="43" spans="1:11" ht="15" customHeight="1" thickBot="1">
      <c r="A43" s="68"/>
      <c r="B43" s="69" t="s">
        <v>81</v>
      </c>
      <c r="C43" s="69"/>
      <c r="D43" s="70">
        <f>'Step 2'!D43/12</f>
        <v>125</v>
      </c>
      <c r="E43" s="100">
        <f t="shared" si="1"/>
        <v>3.2303219554215574E-3</v>
      </c>
      <c r="F43" s="69"/>
      <c r="G43" s="127"/>
      <c r="H43" s="93"/>
      <c r="I43" s="236" t="s">
        <v>181</v>
      </c>
      <c r="J43" s="237">
        <f>J31+J42</f>
        <v>20833.333333333332</v>
      </c>
    </row>
    <row r="44" spans="1:11" ht="15" customHeight="1">
      <c r="A44" s="68"/>
      <c r="B44" s="69" t="s">
        <v>90</v>
      </c>
      <c r="C44" s="69"/>
      <c r="D44" s="70">
        <f>'Step 2'!D44/12</f>
        <v>41.666666666666664</v>
      </c>
      <c r="E44" s="100">
        <f t="shared" si="1"/>
        <v>1.0767739851405191E-3</v>
      </c>
      <c r="F44" s="88"/>
      <c r="G44" s="130"/>
    </row>
    <row r="45" spans="1:11" ht="15" customHeight="1">
      <c r="A45" s="68"/>
      <c r="B45" s="69" t="s">
        <v>25</v>
      </c>
      <c r="C45" s="69"/>
      <c r="D45" s="70">
        <f>'Step 2'!D45/12</f>
        <v>166.66666666666666</v>
      </c>
      <c r="E45" s="100">
        <f t="shared" si="1"/>
        <v>4.3070959405620765E-3</v>
      </c>
      <c r="F45" s="88"/>
      <c r="G45" s="9"/>
    </row>
    <row r="46" spans="1:11" ht="15" customHeight="1">
      <c r="A46" s="68"/>
      <c r="B46" s="69" t="s">
        <v>26</v>
      </c>
      <c r="C46" s="69"/>
      <c r="D46" s="70">
        <f>'Step 2'!D46/12</f>
        <v>41.666666666666664</v>
      </c>
      <c r="E46" s="100">
        <f t="shared" si="1"/>
        <v>1.0767739851405191E-3</v>
      </c>
      <c r="F46" s="88"/>
      <c r="I46" s="131" t="s">
        <v>117</v>
      </c>
      <c r="J46" s="132">
        <f>SUM(D25,D60)</f>
        <v>38695.833333333328</v>
      </c>
      <c r="K46" s="133">
        <f>E60+E25</f>
        <v>1</v>
      </c>
    </row>
    <row r="47" spans="1:11" ht="15" customHeight="1">
      <c r="A47" s="68"/>
      <c r="B47" s="69" t="s">
        <v>225</v>
      </c>
      <c r="C47" s="69"/>
      <c r="D47" s="70">
        <f>'Step 2'!D47/12</f>
        <v>166.66666666666666</v>
      </c>
      <c r="E47" s="100">
        <f t="shared" si="1"/>
        <v>4.3070959405620765E-3</v>
      </c>
      <c r="F47" s="88"/>
      <c r="G47" s="142"/>
      <c r="I47" s="238"/>
      <c r="J47" s="239"/>
      <c r="K47" s="153"/>
    </row>
    <row r="48" spans="1:11" ht="15" customHeight="1">
      <c r="A48" s="68"/>
      <c r="B48" s="69" t="s">
        <v>5</v>
      </c>
      <c r="C48" s="69"/>
      <c r="D48" s="70">
        <f>'Step 2'!D48/12</f>
        <v>583.33333333333337</v>
      </c>
      <c r="E48" s="100">
        <f t="shared" si="1"/>
        <v>1.507483579196727E-2</v>
      </c>
      <c r="F48" s="88"/>
      <c r="G48" s="142"/>
      <c r="I48" s="135" t="s">
        <v>174</v>
      </c>
      <c r="J48" s="136">
        <f>(D26-D60)</f>
        <v>-6463.6904761904716</v>
      </c>
      <c r="K48" s="153"/>
    </row>
    <row r="49" spans="1:13" ht="15" customHeight="1">
      <c r="A49" s="68"/>
      <c r="B49" s="69" t="s">
        <v>154</v>
      </c>
      <c r="C49" s="69"/>
      <c r="D49" s="70">
        <f>'Step 2'!D49/12</f>
        <v>166.66666666666666</v>
      </c>
      <c r="E49" s="100">
        <f t="shared" si="1"/>
        <v>4.3070959405620765E-3</v>
      </c>
      <c r="F49" s="88"/>
      <c r="G49" s="142"/>
      <c r="K49" s="137"/>
      <c r="L49" s="138"/>
      <c r="M49" s="10"/>
    </row>
    <row r="50" spans="1:13" ht="15" customHeight="1">
      <c r="A50" s="68"/>
      <c r="B50" s="69" t="s">
        <v>66</v>
      </c>
      <c r="C50" s="69"/>
      <c r="D50" s="70">
        <f>'Step 2'!D50/12</f>
        <v>2000</v>
      </c>
      <c r="E50" s="100">
        <f t="shared" si="1"/>
        <v>5.1685151286744918E-2</v>
      </c>
      <c r="F50" s="88"/>
      <c r="G50" s="9"/>
      <c r="K50" s="137"/>
      <c r="L50" s="139"/>
      <c r="M50" s="110"/>
    </row>
    <row r="51" spans="1:13" ht="15" customHeight="1">
      <c r="A51" s="68"/>
      <c r="B51" s="69" t="s">
        <v>40</v>
      </c>
      <c r="C51" s="69"/>
      <c r="D51" s="70">
        <f>'Step 2'!D51/12</f>
        <v>166.66666666666666</v>
      </c>
      <c r="E51" s="100">
        <f t="shared" si="1"/>
        <v>4.3070959405620765E-3</v>
      </c>
      <c r="F51" s="88"/>
      <c r="L51" s="138"/>
      <c r="M51" s="10"/>
    </row>
    <row r="52" spans="1:13" ht="15" customHeight="1">
      <c r="A52" s="68"/>
      <c r="B52" s="69" t="s">
        <v>100</v>
      </c>
      <c r="C52" s="69"/>
      <c r="D52" s="70">
        <f>'Step 2'!D52/12</f>
        <v>666.66666666666663</v>
      </c>
      <c r="E52" s="100">
        <f t="shared" si="1"/>
        <v>1.7228383762248306E-2</v>
      </c>
      <c r="F52" s="88"/>
      <c r="G52" s="9"/>
      <c r="H52" s="377"/>
      <c r="I52" s="356"/>
      <c r="J52" s="356"/>
      <c r="L52" s="140"/>
      <c r="M52" s="10"/>
    </row>
    <row r="53" spans="1:13" ht="15" customHeight="1">
      <c r="A53" s="68"/>
      <c r="B53" s="69" t="s">
        <v>161</v>
      </c>
      <c r="C53" s="69"/>
      <c r="D53" s="70">
        <f>'Step 2'!D53/12</f>
        <v>41.666666666666664</v>
      </c>
      <c r="E53" s="100">
        <f t="shared" si="1"/>
        <v>1.0767739851405191E-3</v>
      </c>
      <c r="F53" s="88"/>
      <c r="H53" s="356"/>
      <c r="I53" s="356"/>
      <c r="J53" s="356"/>
      <c r="K53" s="196"/>
      <c r="L53" s="140"/>
    </row>
    <row r="54" spans="1:13" ht="15" customHeight="1">
      <c r="A54" s="68"/>
      <c r="B54" s="69" t="s">
        <v>173</v>
      </c>
      <c r="C54" s="69"/>
      <c r="D54" s="70">
        <f>'Step 2'!D54/12</f>
        <v>41.666666666666664</v>
      </c>
      <c r="E54" s="100">
        <f t="shared" si="1"/>
        <v>1.0767739851405191E-3</v>
      </c>
      <c r="F54" s="88"/>
      <c r="H54" s="356"/>
      <c r="I54" s="356"/>
      <c r="J54" s="356"/>
      <c r="K54" s="240"/>
      <c r="L54" s="141"/>
      <c r="M54" s="10"/>
    </row>
    <row r="55" spans="1:13" ht="15" customHeight="1">
      <c r="A55" s="68"/>
      <c r="B55" s="144" t="s">
        <v>101</v>
      </c>
      <c r="C55" s="69"/>
      <c r="D55" s="70">
        <f>'Step 2'!D55/12</f>
        <v>166.66666666666666</v>
      </c>
      <c r="E55" s="100">
        <f t="shared" si="1"/>
        <v>4.3070959405620765E-3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0.33929148271777759</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zoomScale="85" workbookViewId="0">
      <selection activeCell="D57" sqref="D57"/>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7" customWidth="1"/>
    <col min="5" max="5" width="7.42578125" style="110" customWidth="1"/>
    <col min="6" max="6" width="6" style="157" customWidth="1"/>
    <col min="7" max="7" width="6.140625" style="110" customWidth="1"/>
    <col min="8" max="8" width="3.7109375" style="2" customWidth="1"/>
    <col min="9" max="9" width="27" style="2" customWidth="1"/>
    <col min="10" max="10" width="11" style="7" customWidth="1"/>
    <col min="11" max="16384" width="8" style="2"/>
  </cols>
  <sheetData>
    <row r="1" spans="1:11" ht="23">
      <c r="A1" s="1" t="s">
        <v>141</v>
      </c>
      <c r="B1" s="4"/>
      <c r="C1" s="4"/>
      <c r="D1" s="4"/>
      <c r="E1" s="5"/>
      <c r="F1" s="4"/>
      <c r="G1" s="5"/>
      <c r="H1" s="4"/>
      <c r="I1" s="6"/>
    </row>
    <row r="2" spans="1:11" ht="15.75" customHeight="1">
      <c r="A2" s="359"/>
      <c r="B2" s="359"/>
      <c r="C2" s="359"/>
      <c r="D2" s="8"/>
      <c r="E2" s="9"/>
      <c r="F2" s="8"/>
      <c r="G2" s="9"/>
      <c r="H2" s="4"/>
      <c r="I2" s="4"/>
    </row>
    <row r="3" spans="1:11" ht="15.75" customHeight="1">
      <c r="A3" s="59" t="s">
        <v>156</v>
      </c>
      <c r="B3" s="59"/>
      <c r="C3" s="60" t="str">
        <f>'Step 1'!C3:E3</f>
        <v>Sample Clinic</v>
      </c>
      <c r="D3" s="61"/>
      <c r="E3" s="62"/>
      <c r="F3" s="61"/>
      <c r="G3" s="62"/>
      <c r="H3" s="4"/>
      <c r="I3" s="4"/>
    </row>
    <row r="4" spans="1:11" ht="15.75" customHeight="1">
      <c r="A4" s="59" t="s">
        <v>157</v>
      </c>
      <c r="B4" s="59"/>
      <c r="C4" s="60" t="str">
        <f>'Step 1'!C4:E4</f>
        <v>Aimee</v>
      </c>
      <c r="D4" s="61"/>
      <c r="E4" s="62"/>
      <c r="F4" s="61"/>
      <c r="G4" s="62"/>
      <c r="H4" s="4"/>
      <c r="I4" s="4"/>
    </row>
    <row r="5" spans="1:11" ht="15.75" customHeight="1">
      <c r="A5" s="59" t="s">
        <v>158</v>
      </c>
      <c r="B5" s="59"/>
      <c r="C5" s="222" t="str">
        <f>'Step 1'!C5:E5</f>
        <v xml:space="preserve"> </v>
      </c>
      <c r="D5" s="61"/>
      <c r="E5" s="62"/>
      <c r="F5" s="61"/>
      <c r="G5" s="62"/>
      <c r="H5" s="4"/>
      <c r="I5" s="4"/>
    </row>
    <row r="6" spans="1:11" ht="15.75" customHeight="1">
      <c r="A6" s="59"/>
      <c r="B6" s="59"/>
      <c r="C6" s="59"/>
      <c r="D6" s="8"/>
      <c r="E6" s="9"/>
      <c r="F6" s="8"/>
      <c r="G6" s="9"/>
      <c r="H6" s="4"/>
      <c r="I6" s="4"/>
    </row>
    <row r="7" spans="1:11" ht="15" customHeight="1">
      <c r="A7" s="14" t="s">
        <v>129</v>
      </c>
      <c r="B7" s="14"/>
      <c r="C7" s="14"/>
      <c r="D7" s="14"/>
      <c r="E7" s="16"/>
      <c r="F7" s="14"/>
      <c r="G7" s="16"/>
      <c r="H7" s="14"/>
      <c r="I7" s="14"/>
      <c r="J7" s="16"/>
      <c r="K7" s="17"/>
    </row>
    <row r="8" spans="1:11" ht="15" customHeight="1">
      <c r="A8" s="359"/>
      <c r="B8" s="359"/>
      <c r="C8" s="359"/>
      <c r="D8" s="65"/>
      <c r="E8" s="9"/>
      <c r="F8" s="65"/>
      <c r="G8" s="9"/>
      <c r="H8" s="347"/>
      <c r="I8" s="347"/>
    </row>
    <row r="9" spans="1:11" ht="15" customHeight="1">
      <c r="A9" s="375" t="s">
        <v>27</v>
      </c>
      <c r="B9" s="376"/>
      <c r="C9" s="376"/>
      <c r="D9" s="66"/>
      <c r="E9" s="9"/>
      <c r="F9" s="65"/>
      <c r="G9" s="9"/>
      <c r="H9" s="380" t="s">
        <v>131</v>
      </c>
      <c r="I9" s="376"/>
      <c r="J9" s="67"/>
    </row>
    <row r="10" spans="1:11" ht="15" customHeight="1">
      <c r="A10" s="68"/>
      <c r="B10" s="69" t="s">
        <v>29</v>
      </c>
      <c r="C10" s="69"/>
      <c r="D10" s="70">
        <f>J10*J15</f>
        <v>34700</v>
      </c>
      <c r="E10" s="71"/>
      <c r="F10" s="72"/>
      <c r="G10" s="9"/>
      <c r="H10" s="73"/>
      <c r="I10" s="74" t="s">
        <v>106</v>
      </c>
      <c r="J10" s="165">
        <f>'Step 1'!G45</f>
        <v>61.964285714285715</v>
      </c>
    </row>
    <row r="11" spans="1:11" ht="15" customHeight="1" thickBot="1">
      <c r="A11" s="68"/>
      <c r="B11" s="69" t="s">
        <v>53</v>
      </c>
      <c r="C11" s="69"/>
      <c r="D11" s="174">
        <f>'Step 2'!D11/12</f>
        <v>1250</v>
      </c>
      <c r="E11" s="71"/>
      <c r="F11" s="72"/>
      <c r="G11" s="9"/>
      <c r="H11" s="73"/>
      <c r="I11" s="74" t="s">
        <v>178</v>
      </c>
      <c r="J11" s="166">
        <f>'Step 2'!J11</f>
        <v>15</v>
      </c>
    </row>
    <row r="12" spans="1:11" ht="15" customHeight="1">
      <c r="A12" s="68"/>
      <c r="B12" s="69" t="s">
        <v>22</v>
      </c>
      <c r="C12" s="69"/>
      <c r="D12" s="174">
        <f>'Step 2'!D12/12</f>
        <v>0</v>
      </c>
      <c r="E12" s="71"/>
      <c r="F12" s="78"/>
      <c r="G12" s="10"/>
      <c r="H12" s="73"/>
      <c r="I12" s="79" t="s">
        <v>75</v>
      </c>
      <c r="J12" s="223">
        <f>'Step 1'!$D$10/12</f>
        <v>4</v>
      </c>
    </row>
    <row r="13" spans="1:11" ht="15" customHeight="1" thickBot="1">
      <c r="A13" s="81"/>
      <c r="B13" s="82" t="s">
        <v>132</v>
      </c>
      <c r="C13" s="82"/>
      <c r="D13" s="224">
        <f>'Step 2'!D13/12</f>
        <v>0</v>
      </c>
      <c r="E13" s="71"/>
      <c r="F13" s="65"/>
      <c r="G13" s="9"/>
      <c r="H13" s="73"/>
      <c r="I13" s="84" t="s">
        <v>203</v>
      </c>
      <c r="J13" s="85">
        <f>'Step 1'!$D$11</f>
        <v>5</v>
      </c>
    </row>
    <row r="14" spans="1:11" ht="15" customHeight="1" thickTop="1" thickBot="1">
      <c r="A14" s="86"/>
      <c r="B14" s="373" t="s">
        <v>59</v>
      </c>
      <c r="C14" s="382"/>
      <c r="D14" s="225">
        <f>SUM(D10:D13)</f>
        <v>35950</v>
      </c>
      <c r="E14" s="71"/>
      <c r="F14" s="88"/>
      <c r="G14" s="9"/>
      <c r="H14" s="73"/>
      <c r="I14" s="89" t="s">
        <v>171</v>
      </c>
      <c r="J14" s="226">
        <v>28</v>
      </c>
    </row>
    <row r="15" spans="1:11" ht="15" customHeight="1" thickBot="1">
      <c r="A15" s="96"/>
      <c r="B15" s="96"/>
      <c r="C15" s="96"/>
      <c r="D15" s="72"/>
      <c r="E15" s="71"/>
      <c r="F15" s="88"/>
      <c r="G15" s="9"/>
      <c r="H15" s="93"/>
      <c r="I15" s="94" t="s">
        <v>125</v>
      </c>
      <c r="J15" s="95">
        <f>J14*J13*J12</f>
        <v>560</v>
      </c>
    </row>
    <row r="16" spans="1:11" ht="15" customHeight="1">
      <c r="A16" s="96"/>
      <c r="B16" s="96"/>
      <c r="C16" s="96"/>
      <c r="D16" s="78"/>
      <c r="E16" s="10"/>
      <c r="F16" s="88"/>
      <c r="G16" s="9"/>
      <c r="J16" s="97"/>
    </row>
    <row r="17" spans="1:10" ht="15" customHeight="1">
      <c r="A17" s="375" t="s">
        <v>115</v>
      </c>
      <c r="B17" s="376"/>
      <c r="C17" s="376"/>
      <c r="D17" s="98"/>
      <c r="E17" s="99"/>
      <c r="F17" s="88"/>
      <c r="G17" s="9"/>
    </row>
    <row r="18" spans="1:10" ht="15" customHeight="1" thickBot="1">
      <c r="A18" s="68"/>
      <c r="B18" s="69" t="s">
        <v>116</v>
      </c>
      <c r="C18" s="69"/>
      <c r="D18" s="174">
        <f>'Step 2'!D18/12</f>
        <v>250</v>
      </c>
      <c r="E18" s="100">
        <f t="shared" ref="E18:E25" si="0">D18/$J$46</f>
        <v>6.3137956434810068E-3</v>
      </c>
      <c r="F18" s="88"/>
      <c r="G18" s="9"/>
      <c r="H18" s="375" t="s">
        <v>56</v>
      </c>
      <c r="I18" s="381"/>
      <c r="J18" s="67"/>
    </row>
    <row r="19" spans="1:10" ht="15" customHeight="1">
      <c r="A19" s="68"/>
      <c r="B19" s="69" t="s">
        <v>198</v>
      </c>
      <c r="C19" s="69"/>
      <c r="D19" s="174">
        <f>J15*J11</f>
        <v>8400</v>
      </c>
      <c r="E19" s="100">
        <f t="shared" si="0"/>
        <v>0.21214353362096183</v>
      </c>
      <c r="F19" s="88"/>
      <c r="G19" s="9"/>
      <c r="H19" s="73"/>
      <c r="I19" s="101" t="s">
        <v>133</v>
      </c>
      <c r="J19" s="223">
        <f>'Step 2'!J19</f>
        <v>1</v>
      </c>
    </row>
    <row r="20" spans="1:10" ht="15" customHeight="1" thickBot="1">
      <c r="A20" s="68"/>
      <c r="B20" s="69" t="s">
        <v>44</v>
      </c>
      <c r="C20" s="69"/>
      <c r="D20" s="174">
        <f>'Step 2'!D20/12</f>
        <v>250</v>
      </c>
      <c r="E20" s="100">
        <f t="shared" si="0"/>
        <v>6.3137956434810068E-3</v>
      </c>
      <c r="F20" s="72"/>
      <c r="G20" s="9"/>
      <c r="H20" s="73"/>
      <c r="I20" s="103" t="s">
        <v>134</v>
      </c>
      <c r="J20" s="227">
        <f>'Step 2'!J20/12</f>
        <v>6500</v>
      </c>
    </row>
    <row r="21" spans="1:10" ht="15" customHeight="1" thickBot="1">
      <c r="A21" s="68"/>
      <c r="B21" s="69" t="s">
        <v>56</v>
      </c>
      <c r="C21" s="69"/>
      <c r="D21" s="174">
        <f>J31</f>
        <v>14333.333333333332</v>
      </c>
      <c r="E21" s="100">
        <f t="shared" si="0"/>
        <v>0.36199095022624433</v>
      </c>
      <c r="F21" s="72"/>
      <c r="G21" s="9"/>
      <c r="H21" s="73"/>
      <c r="I21" s="94" t="s">
        <v>135</v>
      </c>
      <c r="J21" s="245">
        <f>'Step 2'!J21/12</f>
        <v>6500</v>
      </c>
    </row>
    <row r="22" spans="1:10" ht="15" customHeight="1">
      <c r="A22" s="68"/>
      <c r="B22" s="69" t="s">
        <v>155</v>
      </c>
      <c r="C22" s="69"/>
      <c r="D22" s="174">
        <f>'Step 2'!D22/12</f>
        <v>0</v>
      </c>
      <c r="E22" s="100">
        <f t="shared" si="0"/>
        <v>0</v>
      </c>
      <c r="F22" s="72"/>
      <c r="G22" s="9"/>
      <c r="H22" s="73"/>
      <c r="I22" s="106" t="s">
        <v>107</v>
      </c>
      <c r="J22" s="223">
        <f>'Step 2'!J22</f>
        <v>1</v>
      </c>
    </row>
    <row r="23" spans="1:10" ht="15" customHeight="1" thickBot="1">
      <c r="A23" s="68"/>
      <c r="B23" s="69" t="s">
        <v>105</v>
      </c>
      <c r="C23" s="69"/>
      <c r="D23" s="174">
        <f>'Step 2'!D23/12</f>
        <v>2150</v>
      </c>
      <c r="E23" s="100">
        <f t="shared" si="0"/>
        <v>5.429864253393666E-2</v>
      </c>
      <c r="F23" s="107"/>
      <c r="G23" s="9"/>
      <c r="H23" s="73"/>
      <c r="I23" s="103" t="s">
        <v>113</v>
      </c>
      <c r="J23" s="227">
        <f>'Step 2'!J23/12</f>
        <v>2666.6666666666665</v>
      </c>
    </row>
    <row r="24" spans="1:10" ht="15" customHeight="1" thickBot="1">
      <c r="A24" s="81"/>
      <c r="B24" s="82" t="s">
        <v>179</v>
      </c>
      <c r="C24" s="82"/>
      <c r="D24" s="224">
        <f>'Step 2'!D24/12</f>
        <v>1083.3333333333333</v>
      </c>
      <c r="E24" s="109">
        <f t="shared" si="0"/>
        <v>2.7359781121751029E-2</v>
      </c>
      <c r="F24" s="65"/>
      <c r="H24" s="73"/>
      <c r="I24" s="94" t="s">
        <v>114</v>
      </c>
      <c r="J24" s="245">
        <f>'Step 2'!J24/12</f>
        <v>2666.6666666666665</v>
      </c>
    </row>
    <row r="25" spans="1:10" ht="15" customHeight="1" thickTop="1">
      <c r="A25" s="68"/>
      <c r="B25" s="370" t="s">
        <v>45</v>
      </c>
      <c r="C25" s="371"/>
      <c r="D25" s="225">
        <f>SUM(D18:D24)</f>
        <v>26466.666666666664</v>
      </c>
      <c r="E25" s="111">
        <f t="shared" si="0"/>
        <v>0.66842049878985588</v>
      </c>
      <c r="F25" s="107"/>
      <c r="G25" s="9"/>
      <c r="H25" s="73"/>
      <c r="I25" s="112" t="s">
        <v>136</v>
      </c>
      <c r="J25" s="223">
        <f>'Step 2'!J25</f>
        <v>2</v>
      </c>
    </row>
    <row r="26" spans="1:10" ht="15" customHeight="1" thickBot="1">
      <c r="A26" s="86"/>
      <c r="B26" s="372" t="s">
        <v>61</v>
      </c>
      <c r="C26" s="346"/>
      <c r="D26" s="229">
        <f>D14-COGS</f>
        <v>9483.3333333333358</v>
      </c>
      <c r="E26" s="114"/>
      <c r="F26" s="65"/>
      <c r="H26" s="73"/>
      <c r="I26" s="103" t="s">
        <v>137</v>
      </c>
      <c r="J26" s="227">
        <f>'Step 2'!J26/12</f>
        <v>1833.3333333333333</v>
      </c>
    </row>
    <row r="27" spans="1:10" ht="15" customHeight="1" thickBot="1">
      <c r="A27" s="96"/>
      <c r="C27" s="115"/>
      <c r="D27" s="107"/>
      <c r="E27" s="116"/>
      <c r="F27" s="65"/>
      <c r="G27" s="9"/>
      <c r="H27" s="73"/>
      <c r="I27" s="94" t="s">
        <v>138</v>
      </c>
      <c r="J27" s="245">
        <f>'Step 2'!J27/12</f>
        <v>3666.6666666666665</v>
      </c>
    </row>
    <row r="28" spans="1:10" ht="15" customHeight="1">
      <c r="A28" s="96"/>
      <c r="B28" s="96"/>
      <c r="C28" s="96"/>
      <c r="D28" s="65"/>
      <c r="E28" s="9"/>
      <c r="F28" s="88"/>
      <c r="G28" s="9"/>
      <c r="H28" s="73"/>
      <c r="I28" s="112" t="s">
        <v>180</v>
      </c>
      <c r="J28" s="223">
        <f>'Step 2'!J28</f>
        <v>1</v>
      </c>
    </row>
    <row r="29" spans="1:10" ht="15" customHeight="1" thickBot="1">
      <c r="A29" s="375" t="s">
        <v>46</v>
      </c>
      <c r="B29" s="376"/>
      <c r="C29" s="376"/>
      <c r="D29" s="98"/>
      <c r="E29" s="99"/>
      <c r="F29" s="88"/>
      <c r="G29" s="9"/>
      <c r="H29" s="73"/>
      <c r="I29" s="103" t="s">
        <v>60</v>
      </c>
      <c r="J29" s="227">
        <f>'Step 2'!J29/12</f>
        <v>1500</v>
      </c>
    </row>
    <row r="30" spans="1:10" ht="15" customHeight="1" thickBot="1">
      <c r="A30" s="68"/>
      <c r="B30" s="69" t="s">
        <v>189</v>
      </c>
      <c r="C30" s="69"/>
      <c r="D30" s="70">
        <f>J42</f>
        <v>6500</v>
      </c>
      <c r="E30" s="100">
        <f>D30/J46</f>
        <v>0.16415868673050618</v>
      </c>
      <c r="F30" s="88"/>
      <c r="G30" s="9"/>
      <c r="H30" s="73"/>
      <c r="I30" s="94" t="s">
        <v>210</v>
      </c>
      <c r="J30" s="245">
        <f>'Step 2'!J30/12</f>
        <v>1500</v>
      </c>
    </row>
    <row r="31" spans="1:10" ht="15" customHeight="1" thickBot="1">
      <c r="A31" s="68"/>
      <c r="B31" s="69" t="s">
        <v>105</v>
      </c>
      <c r="C31" s="69"/>
      <c r="D31" s="70">
        <f>'Step 2'!D31/12</f>
        <v>975</v>
      </c>
      <c r="E31" s="100">
        <f t="shared" ref="E31:E60" si="1">D31/$J$46</f>
        <v>2.4623803009575927E-2</v>
      </c>
      <c r="F31" s="88"/>
      <c r="G31" s="9"/>
      <c r="H31" s="118"/>
      <c r="I31" s="247" t="s">
        <v>89</v>
      </c>
      <c r="J31" s="120">
        <f>J21+J24+J27+J30</f>
        <v>14333.333333333332</v>
      </c>
    </row>
    <row r="32" spans="1:10" ht="15" customHeight="1" thickBot="1">
      <c r="A32" s="68"/>
      <c r="B32" s="69" t="s">
        <v>33</v>
      </c>
      <c r="C32" s="69"/>
      <c r="D32" s="70">
        <f>'Step 2'!D32/12</f>
        <v>541.66666666666663</v>
      </c>
      <c r="E32" s="100">
        <f t="shared" si="1"/>
        <v>1.3679890560875515E-2</v>
      </c>
      <c r="F32" s="88"/>
      <c r="G32" s="9"/>
      <c r="H32" s="121" t="s">
        <v>148</v>
      </c>
      <c r="I32" s="232"/>
      <c r="J32" s="249"/>
    </row>
    <row r="33" spans="1:11" ht="15" customHeight="1">
      <c r="A33" s="68"/>
      <c r="B33" s="69" t="s">
        <v>13</v>
      </c>
      <c r="C33" s="69"/>
      <c r="D33" s="70">
        <f>'Step 2'!D33/12</f>
        <v>166.66666666666666</v>
      </c>
      <c r="E33" s="100">
        <f t="shared" si="1"/>
        <v>4.2091970956540043E-3</v>
      </c>
      <c r="F33" s="88"/>
      <c r="G33" s="9"/>
      <c r="H33" s="73"/>
      <c r="I33" s="101" t="s">
        <v>208</v>
      </c>
      <c r="J33" s="223">
        <f>'Step 2'!J33</f>
        <v>0</v>
      </c>
    </row>
    <row r="34" spans="1:11" ht="15" customHeight="1" thickBot="1">
      <c r="A34" s="68"/>
      <c r="B34" s="69" t="s">
        <v>67</v>
      </c>
      <c r="C34" s="69"/>
      <c r="D34" s="70">
        <f>'Step 2'!D34/12</f>
        <v>0</v>
      </c>
      <c r="E34" s="100">
        <f t="shared" si="1"/>
        <v>0</v>
      </c>
      <c r="F34" s="88"/>
      <c r="G34" s="9"/>
      <c r="H34" s="73"/>
      <c r="I34" s="103" t="s">
        <v>209</v>
      </c>
      <c r="J34" s="227">
        <f>'Step 2'!J34/12</f>
        <v>0</v>
      </c>
    </row>
    <row r="35" spans="1:11" ht="15" customHeight="1" thickBot="1">
      <c r="A35" s="68"/>
      <c r="B35" s="69" t="s">
        <v>47</v>
      </c>
      <c r="C35" s="69"/>
      <c r="D35" s="70">
        <f>'Step 2'!D35/12</f>
        <v>41.666666666666664</v>
      </c>
      <c r="E35" s="100">
        <f t="shared" si="1"/>
        <v>1.0522992739135011E-3</v>
      </c>
      <c r="F35" s="88"/>
      <c r="G35" s="9"/>
      <c r="H35" s="73"/>
      <c r="I35" s="94" t="s">
        <v>58</v>
      </c>
      <c r="J35" s="245">
        <f>'Step 2'!J35/12</f>
        <v>0</v>
      </c>
    </row>
    <row r="36" spans="1:11" ht="15" customHeight="1">
      <c r="A36" s="68"/>
      <c r="B36" s="69" t="s">
        <v>197</v>
      </c>
      <c r="C36" s="69"/>
      <c r="D36" s="70">
        <f>'Step 2'!D36/12</f>
        <v>208.33333333333334</v>
      </c>
      <c r="E36" s="100">
        <f t="shared" si="1"/>
        <v>5.261496369567506E-3</v>
      </c>
      <c r="F36" s="88"/>
      <c r="G36" s="9"/>
      <c r="H36" s="73"/>
      <c r="I36" s="112" t="s">
        <v>97</v>
      </c>
      <c r="J36" s="223">
        <f>'Step 2'!J36</f>
        <v>1</v>
      </c>
    </row>
    <row r="37" spans="1:11" ht="15" customHeight="1" thickBot="1">
      <c r="A37" s="68"/>
      <c r="B37" s="69" t="s">
        <v>109</v>
      </c>
      <c r="C37" s="69"/>
      <c r="D37" s="70">
        <f>'Step 2'!D37/12</f>
        <v>0</v>
      </c>
      <c r="E37" s="100">
        <f t="shared" si="1"/>
        <v>0</v>
      </c>
      <c r="F37" s="88"/>
      <c r="G37" s="9"/>
      <c r="H37" s="73"/>
      <c r="I37" s="103" t="s">
        <v>98</v>
      </c>
      <c r="J37" s="227">
        <f>'Step 2'!J37/12</f>
        <v>3750</v>
      </c>
    </row>
    <row r="38" spans="1:11" ht="15" customHeight="1" thickBot="1">
      <c r="A38" s="68"/>
      <c r="B38" s="69" t="s">
        <v>110</v>
      </c>
      <c r="C38" s="69"/>
      <c r="D38" s="70">
        <f>'Step 2'!D38/12</f>
        <v>8.3333333333333339</v>
      </c>
      <c r="E38" s="100">
        <f t="shared" si="1"/>
        <v>2.1045985478270024E-4</v>
      </c>
      <c r="F38" s="88"/>
      <c r="G38" s="9"/>
      <c r="H38" s="73"/>
      <c r="I38" s="94" t="s">
        <v>99</v>
      </c>
      <c r="J38" s="245">
        <f>'Step 2'!J38/12</f>
        <v>3750</v>
      </c>
    </row>
    <row r="39" spans="1:11" ht="15" customHeight="1">
      <c r="A39" s="68"/>
      <c r="B39" s="69" t="s">
        <v>111</v>
      </c>
      <c r="C39" s="69"/>
      <c r="D39" s="70">
        <f>'Step 2'!D39/12</f>
        <v>62.5</v>
      </c>
      <c r="E39" s="100">
        <f t="shared" si="1"/>
        <v>1.5784489108702517E-3</v>
      </c>
      <c r="F39" s="88"/>
      <c r="G39" s="9"/>
      <c r="H39" s="73"/>
      <c r="I39" s="112" t="s">
        <v>34</v>
      </c>
      <c r="J39" s="223">
        <f>'Step 2'!J39</f>
        <v>1.5</v>
      </c>
    </row>
    <row r="40" spans="1:11" ht="15" customHeight="1" thickBot="1">
      <c r="A40" s="68"/>
      <c r="B40" s="69" t="s">
        <v>108</v>
      </c>
      <c r="C40" s="69"/>
      <c r="D40" s="70">
        <f>'Step 2'!D40/12</f>
        <v>83.333333333333329</v>
      </c>
      <c r="E40" s="100">
        <f t="shared" si="1"/>
        <v>2.1045985478270021E-3</v>
      </c>
      <c r="F40" s="88"/>
      <c r="G40" s="9"/>
      <c r="H40" s="73"/>
      <c r="I40" s="103" t="s">
        <v>35</v>
      </c>
      <c r="J40" s="227">
        <f>'Step 2'!J40/12</f>
        <v>1833.3333333333333</v>
      </c>
    </row>
    <row r="41" spans="1:11" ht="15" customHeight="1" thickTop="1" thickBot="1">
      <c r="A41" s="68"/>
      <c r="B41" s="69" t="s">
        <v>159</v>
      </c>
      <c r="C41" s="69"/>
      <c r="D41" s="70">
        <f>'Step 2'!D41/12</f>
        <v>0</v>
      </c>
      <c r="E41" s="100">
        <f t="shared" si="1"/>
        <v>0</v>
      </c>
      <c r="F41" s="88"/>
      <c r="G41" s="9"/>
      <c r="H41" s="73"/>
      <c r="I41" s="124" t="s">
        <v>172</v>
      </c>
      <c r="J41" s="245">
        <f>'Step 2'!J41/12</f>
        <v>2750</v>
      </c>
    </row>
    <row r="42" spans="1:11" ht="15" customHeight="1" thickBot="1">
      <c r="A42" s="68"/>
      <c r="B42" s="69" t="s">
        <v>160</v>
      </c>
      <c r="C42" s="69"/>
      <c r="D42" s="70">
        <f>'Step 2'!D42/12</f>
        <v>166.66666666666666</v>
      </c>
      <c r="E42" s="100">
        <f t="shared" si="1"/>
        <v>4.2091970956540043E-3</v>
      </c>
      <c r="F42" s="74"/>
      <c r="G42" s="9"/>
      <c r="H42" s="68"/>
      <c r="I42" s="119" t="s">
        <v>149</v>
      </c>
      <c r="J42" s="248">
        <f>J35+J38+J41</f>
        <v>6500</v>
      </c>
    </row>
    <row r="43" spans="1:11" ht="15" customHeight="1" thickBot="1">
      <c r="A43" s="68"/>
      <c r="B43" s="69" t="s">
        <v>81</v>
      </c>
      <c r="C43" s="69"/>
      <c r="D43" s="70">
        <f>'Step 2'!D43/12</f>
        <v>125</v>
      </c>
      <c r="E43" s="100">
        <f t="shared" si="1"/>
        <v>3.1568978217405034E-3</v>
      </c>
      <c r="F43" s="69"/>
      <c r="G43" s="127"/>
      <c r="H43" s="93"/>
      <c r="I43" s="236" t="s">
        <v>181</v>
      </c>
      <c r="J43" s="237">
        <f>J31+J42</f>
        <v>20833.333333333332</v>
      </c>
    </row>
    <row r="44" spans="1:11" ht="15" customHeight="1">
      <c r="A44" s="68"/>
      <c r="B44" s="69" t="s">
        <v>90</v>
      </c>
      <c r="C44" s="69"/>
      <c r="D44" s="70">
        <f>'Step 2'!D44/12</f>
        <v>41.666666666666664</v>
      </c>
      <c r="E44" s="100">
        <f t="shared" si="1"/>
        <v>1.0522992739135011E-3</v>
      </c>
      <c r="F44" s="88"/>
      <c r="G44" s="130"/>
    </row>
    <row r="45" spans="1:11" ht="15" customHeight="1">
      <c r="A45" s="68"/>
      <c r="B45" s="69" t="s">
        <v>25</v>
      </c>
      <c r="C45" s="69"/>
      <c r="D45" s="70">
        <f>'Step 2'!D45/12</f>
        <v>166.66666666666666</v>
      </c>
      <c r="E45" s="100">
        <f t="shared" si="1"/>
        <v>4.2091970956540043E-3</v>
      </c>
      <c r="F45" s="88"/>
      <c r="G45" s="9"/>
    </row>
    <row r="46" spans="1:11" ht="15" customHeight="1">
      <c r="A46" s="68"/>
      <c r="B46" s="69" t="s">
        <v>26</v>
      </c>
      <c r="C46" s="69"/>
      <c r="D46" s="70">
        <f>'Step 2'!D46/12</f>
        <v>41.666666666666664</v>
      </c>
      <c r="E46" s="100">
        <f t="shared" si="1"/>
        <v>1.0522992739135011E-3</v>
      </c>
      <c r="F46" s="88"/>
      <c r="I46" s="131" t="s">
        <v>117</v>
      </c>
      <c r="J46" s="132">
        <f>SUM(D25,D60)</f>
        <v>39595.833333333328</v>
      </c>
      <c r="K46" s="133">
        <f>E60+E25</f>
        <v>1</v>
      </c>
    </row>
    <row r="47" spans="1:11" ht="15" customHeight="1">
      <c r="A47" s="68"/>
      <c r="B47" s="69" t="s">
        <v>226</v>
      </c>
      <c r="C47" s="69"/>
      <c r="D47" s="70">
        <f>'Step 2'!D47/12</f>
        <v>166.66666666666666</v>
      </c>
      <c r="E47" s="100">
        <f t="shared" si="1"/>
        <v>4.2091970956540043E-3</v>
      </c>
      <c r="F47" s="88"/>
      <c r="G47" s="142"/>
      <c r="I47" s="238"/>
      <c r="J47" s="239"/>
      <c r="K47" s="153"/>
    </row>
    <row r="48" spans="1:11" ht="15" customHeight="1">
      <c r="A48" s="68"/>
      <c r="B48" s="69" t="s">
        <v>5</v>
      </c>
      <c r="C48" s="69"/>
      <c r="D48" s="70">
        <f>'Step 2'!D48/12</f>
        <v>583.33333333333337</v>
      </c>
      <c r="E48" s="100">
        <f t="shared" si="1"/>
        <v>1.4732189834789017E-2</v>
      </c>
      <c r="F48" s="88"/>
      <c r="G48" s="142"/>
      <c r="I48" s="135" t="s">
        <v>174</v>
      </c>
      <c r="J48" s="136">
        <f>(D26-D60)</f>
        <v>-3645.8333333333303</v>
      </c>
      <c r="K48" s="153"/>
    </row>
    <row r="49" spans="1:13" ht="15" customHeight="1">
      <c r="A49" s="68"/>
      <c r="B49" s="69" t="s">
        <v>154</v>
      </c>
      <c r="C49" s="69"/>
      <c r="D49" s="70">
        <f>'Step 2'!D49/12</f>
        <v>166.66666666666666</v>
      </c>
      <c r="E49" s="100">
        <f t="shared" si="1"/>
        <v>4.2091970956540043E-3</v>
      </c>
      <c r="F49" s="88"/>
      <c r="G49" s="142"/>
      <c r="K49" s="137"/>
      <c r="L49" s="138"/>
      <c r="M49" s="10"/>
    </row>
    <row r="50" spans="1:13" ht="15" customHeight="1">
      <c r="A50" s="68"/>
      <c r="B50" s="69" t="s">
        <v>66</v>
      </c>
      <c r="C50" s="69"/>
      <c r="D50" s="70">
        <f>'Step 2'!D50/12</f>
        <v>2000</v>
      </c>
      <c r="E50" s="100">
        <f t="shared" si="1"/>
        <v>5.0510365147848055E-2</v>
      </c>
      <c r="F50" s="88"/>
      <c r="G50" s="9"/>
      <c r="K50" s="137"/>
      <c r="L50" s="139"/>
      <c r="M50" s="110"/>
    </row>
    <row r="51" spans="1:13" ht="15" customHeight="1">
      <c r="A51" s="68"/>
      <c r="B51" s="69" t="s">
        <v>40</v>
      </c>
      <c r="C51" s="69"/>
      <c r="D51" s="70">
        <f>'Step 2'!D51/12</f>
        <v>166.66666666666666</v>
      </c>
      <c r="E51" s="100">
        <f t="shared" si="1"/>
        <v>4.2091970956540043E-3</v>
      </c>
      <c r="F51" s="88"/>
      <c r="L51" s="138"/>
      <c r="M51" s="10"/>
    </row>
    <row r="52" spans="1:13" ht="15" customHeight="1">
      <c r="A52" s="68"/>
      <c r="B52" s="69" t="s">
        <v>100</v>
      </c>
      <c r="C52" s="69"/>
      <c r="D52" s="70">
        <f>'Step 2'!D52/12</f>
        <v>666.66666666666663</v>
      </c>
      <c r="E52" s="100">
        <f t="shared" si="1"/>
        <v>1.6836788382616017E-2</v>
      </c>
      <c r="F52" s="88"/>
      <c r="G52" s="9"/>
      <c r="H52" s="377"/>
      <c r="I52" s="356"/>
      <c r="J52" s="356"/>
      <c r="L52" s="140"/>
      <c r="M52" s="10"/>
    </row>
    <row r="53" spans="1:13" ht="15" customHeight="1">
      <c r="A53" s="68"/>
      <c r="B53" s="69" t="s">
        <v>161</v>
      </c>
      <c r="C53" s="69"/>
      <c r="D53" s="70">
        <f>'Step 2'!D53/12</f>
        <v>41.666666666666664</v>
      </c>
      <c r="E53" s="100">
        <f t="shared" si="1"/>
        <v>1.0522992739135011E-3</v>
      </c>
      <c r="F53" s="88"/>
      <c r="H53" s="356"/>
      <c r="I53" s="356"/>
      <c r="J53" s="356"/>
      <c r="K53" s="196"/>
      <c r="L53" s="140"/>
    </row>
    <row r="54" spans="1:13" ht="15" customHeight="1">
      <c r="A54" s="68"/>
      <c r="B54" s="69" t="s">
        <v>173</v>
      </c>
      <c r="C54" s="69"/>
      <c r="D54" s="70">
        <f>'Step 2'!D54/12</f>
        <v>41.666666666666664</v>
      </c>
      <c r="E54" s="100">
        <f t="shared" si="1"/>
        <v>1.0522992739135011E-3</v>
      </c>
      <c r="F54" s="88"/>
      <c r="H54" s="356"/>
      <c r="I54" s="356"/>
      <c r="J54" s="356"/>
      <c r="K54" s="240"/>
      <c r="L54" s="141"/>
      <c r="M54" s="10"/>
    </row>
    <row r="55" spans="1:13" ht="15" customHeight="1">
      <c r="A55" s="68"/>
      <c r="B55" s="144" t="s">
        <v>101</v>
      </c>
      <c r="C55" s="69"/>
      <c r="D55" s="70">
        <f>'Step 2'!D55/12</f>
        <v>166.66666666666666</v>
      </c>
      <c r="E55" s="100">
        <f t="shared" si="1"/>
        <v>4.2091970956540043E-3</v>
      </c>
      <c r="F55" s="88"/>
      <c r="G55" s="9"/>
      <c r="H55" s="142"/>
      <c r="I55" s="142"/>
      <c r="J55" s="143"/>
      <c r="K55" s="241"/>
      <c r="L55" s="141"/>
    </row>
    <row r="56" spans="1:13" ht="15" customHeight="1">
      <c r="A56" s="68"/>
      <c r="B56" s="148"/>
      <c r="C56" s="145"/>
      <c r="D56" s="70">
        <f>'Step 2'!D56/12</f>
        <v>0</v>
      </c>
      <c r="E56" s="100">
        <f t="shared" si="1"/>
        <v>0</v>
      </c>
      <c r="F56" s="88"/>
      <c r="G56" s="9"/>
      <c r="H56" s="142"/>
      <c r="I56" s="127"/>
      <c r="J56" s="242"/>
      <c r="K56" s="241"/>
      <c r="L56" s="147"/>
      <c r="M56" s="110"/>
    </row>
    <row r="57" spans="1:13" ht="15" customHeight="1">
      <c r="A57" s="68"/>
      <c r="B57" s="148"/>
      <c r="C57" s="145"/>
      <c r="D57" s="70">
        <f>'Step 2'!D57/12</f>
        <v>0</v>
      </c>
      <c r="E57" s="100">
        <f t="shared" si="1"/>
        <v>0</v>
      </c>
      <c r="F57" s="72"/>
      <c r="H57" s="149"/>
      <c r="I57" s="69"/>
      <c r="J57" s="141"/>
      <c r="K57" s="150"/>
      <c r="L57" s="150"/>
    </row>
    <row r="58" spans="1:13" ht="15" customHeight="1">
      <c r="A58" s="68"/>
      <c r="B58" s="148"/>
      <c r="C58" s="145"/>
      <c r="D58" s="70">
        <f>'Step 2'!D58/12</f>
        <v>0</v>
      </c>
      <c r="E58" s="100">
        <f t="shared" si="1"/>
        <v>0</v>
      </c>
      <c r="F58" s="151"/>
      <c r="H58" s="378"/>
      <c r="I58" s="379"/>
      <c r="J58" s="243"/>
      <c r="L58" s="150"/>
    </row>
    <row r="59" spans="1:13" ht="15" customHeight="1" thickBot="1">
      <c r="A59" s="81"/>
      <c r="B59" s="82"/>
      <c r="C59" s="82"/>
      <c r="D59" s="168">
        <f>'Step 2'!D59/12</f>
        <v>0</v>
      </c>
      <c r="E59" s="109">
        <f t="shared" si="1"/>
        <v>0</v>
      </c>
      <c r="F59" s="65"/>
      <c r="H59" s="379"/>
      <c r="I59" s="379"/>
      <c r="J59" s="244"/>
      <c r="L59" s="150"/>
    </row>
    <row r="60" spans="1:13" ht="15" customHeight="1" thickTop="1">
      <c r="A60" s="154"/>
      <c r="B60" s="373" t="s">
        <v>102</v>
      </c>
      <c r="C60" s="374"/>
      <c r="D60" s="87">
        <f>'Step 2'!D60/12</f>
        <v>13129.166666666666</v>
      </c>
      <c r="E60" s="156">
        <f t="shared" si="1"/>
        <v>0.33157950121014418</v>
      </c>
      <c r="F60" s="65"/>
      <c r="L60" s="150"/>
    </row>
    <row r="61" spans="1:13" ht="15" customHeight="1">
      <c r="A61" s="69"/>
      <c r="B61" s="149"/>
      <c r="C61" s="69"/>
      <c r="D61" s="78"/>
      <c r="E61" s="10"/>
      <c r="H61" s="96"/>
      <c r="J61" s="158"/>
      <c r="K61" s="150"/>
      <c r="L61" s="150"/>
    </row>
    <row r="62" spans="1:13" ht="15" customHeight="1">
      <c r="A62" s="69"/>
      <c r="B62" s="149"/>
      <c r="C62" s="69"/>
    </row>
    <row r="63" spans="1:13" ht="15" customHeight="1">
      <c r="A63" s="69"/>
      <c r="B63" s="149"/>
      <c r="C63" s="69"/>
      <c r="D63" s="78"/>
      <c r="E63" s="10"/>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59"/>
    </row>
    <row r="68" spans="1:7" ht="15" customHeight="1">
      <c r="A68" s="69"/>
    </row>
    <row r="69" spans="1:7" ht="15" customHeight="1">
      <c r="A69" s="69"/>
      <c r="G69" s="160"/>
    </row>
    <row r="70" spans="1:7" ht="15" customHeight="1">
      <c r="A70" s="69"/>
      <c r="F70" s="161"/>
    </row>
    <row r="71" spans="1:7" ht="15" customHeight="1">
      <c r="F71" s="161"/>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&amp;R&amp;G</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Step 1</vt:lpstr>
      <vt:lpstr>Step 2</vt:lpstr>
      <vt:lpstr>Step 2 SUMMARY</vt:lpstr>
      <vt:lpstr>Start-up Costs Worksheet</vt:lpstr>
      <vt:lpstr>Mo. 1</vt:lpstr>
      <vt:lpstr>Mo. 2</vt:lpstr>
      <vt:lpstr>Mo. 3</vt:lpstr>
      <vt:lpstr>Mo. 4</vt:lpstr>
      <vt:lpstr>Mo. 5</vt:lpstr>
      <vt:lpstr>Mo. 6</vt:lpstr>
      <vt:lpstr>Mo. 7</vt:lpstr>
      <vt:lpstr>Mo. 8</vt:lpstr>
      <vt:lpstr>Mo. 9</vt:lpstr>
      <vt:lpstr>Mo. 10</vt:lpstr>
      <vt:lpstr>Mo. 11</vt:lpstr>
      <vt:lpstr>Mo. 12</vt:lpstr>
      <vt:lpstr>Yearly Summary</vt:lpstr>
      <vt:lpstr>Sx Fee Breakdown</vt:lpstr>
    </vt:vector>
  </TitlesOfParts>
  <Company>Humane Alliance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Luft</dc:creator>
  <cp:lastModifiedBy>Rob Seal</cp:lastModifiedBy>
  <cp:lastPrinted>2012-01-09T17:07:03Z</cp:lastPrinted>
  <dcterms:created xsi:type="dcterms:W3CDTF">2007-06-28T13:38:08Z</dcterms:created>
  <dcterms:modified xsi:type="dcterms:W3CDTF">2018-02-08T21:25:46Z</dcterms:modified>
</cp:coreProperties>
</file>